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INSUMOS - QUANTIDADES" sheetId="1" r:id="rId1"/>
    <sheet name="INSUMOS - PREÇOS" sheetId="2" r:id="rId2"/>
    <sheet name="CUSTOS ANUAIS" sheetId="3" r:id="rId3"/>
    <sheet name="RESUMO CUSTOS" sheetId="4" r:id="rId4"/>
    <sheet name="RENTABILIDADE" sheetId="5" r:id="rId5"/>
  </sheets>
  <definedNames>
    <definedName name="_xlnm.Print_Area" localSheetId="2">'CUSTOS ANUAIS'!$B$1:$K$157,'CUSTOS ANUAIS'!$L$3:$N$34</definedName>
    <definedName name="_xlnm.Print_Area" localSheetId="1">'INSUMOS - PREÇOS'!$A$1:$F$69</definedName>
    <definedName name="_xlnm.Print_Area" localSheetId="0">'INSUMOS - QUANTIDADES'!$B$1:$G$151</definedName>
    <definedName name="_xlnm.Print_Area" localSheetId="4">'RENTABILIDADE'!$A$1:$J$33</definedName>
    <definedName name="_xlnm.Print_Area" localSheetId="3">'RESUMO CUSTOS'!$A$1:$L$23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B100" authorId="0">
      <text>
        <r>
          <rPr>
            <b/>
            <sz val="9"/>
            <rFont val="Tahoma"/>
            <family val="2"/>
          </rPr>
          <t>Insira os nomes ou funções dos funcionários da criação, por faixa salarial.</t>
        </r>
      </text>
    </comment>
    <comment ref="E140" authorId="0">
      <text>
        <r>
          <rPr>
            <b/>
            <sz val="9"/>
            <rFont val="Tahoma"/>
            <family val="2"/>
          </rPr>
          <t>Porcentagem do valor do equipamento ou instalação que é usada para consertos e manutenções do bem ao longo do ano.</t>
        </r>
      </text>
    </comment>
    <comment ref="B106" authorId="0">
      <text>
        <r>
          <rPr>
            <b/>
            <sz val="9"/>
            <rFont val="Tahoma"/>
            <family val="2"/>
          </rPr>
          <t>Insira os nomes ou funções dos funcionários da criação, por faixa salarial.</t>
        </r>
      </text>
    </comment>
  </commentList>
</comments>
</file>

<file path=xl/sharedStrings.xml><?xml version="1.0" encoding="utf-8"?>
<sst xmlns="http://schemas.openxmlformats.org/spreadsheetml/2006/main" count="592" uniqueCount="339">
  <si>
    <t xml:space="preserve">ALIMENTOS </t>
  </si>
  <si>
    <t>Categoria e situação fisiológica</t>
  </si>
  <si>
    <t>Período de fornecimento                       (dias por ciclo)</t>
  </si>
  <si>
    <t>Quantidade fornecida (kg/dia)</t>
  </si>
  <si>
    <t>Período de fornecimento</t>
  </si>
  <si>
    <t>Matrizes gestantes</t>
  </si>
  <si>
    <t xml:space="preserve">  0-49 dias de gestação</t>
  </si>
  <si>
    <t xml:space="preserve">  50-84 dias de gestação</t>
  </si>
  <si>
    <t xml:space="preserve">  85-110 dias de gestação</t>
  </si>
  <si>
    <t>Matrizes (menos de 11 leitões)</t>
  </si>
  <si>
    <t xml:space="preserve">  Dias anteriores ao parto</t>
  </si>
  <si>
    <t xml:space="preserve">  Dia do parto</t>
  </si>
  <si>
    <t xml:space="preserve">  1o. Dia após o parto</t>
  </si>
  <si>
    <t xml:space="preserve">  2o. Dia pós parto</t>
  </si>
  <si>
    <t xml:space="preserve">  3o. Dia pós parto</t>
  </si>
  <si>
    <t xml:space="preserve">  4o. Dia pós parto</t>
  </si>
  <si>
    <t xml:space="preserve">  5o. Dia pós parto</t>
  </si>
  <si>
    <t xml:space="preserve">  6o. Dia pós parto</t>
  </si>
  <si>
    <t xml:space="preserve">  7o. Dia pós parto</t>
  </si>
  <si>
    <t xml:space="preserve">  8o. Dia pós parto</t>
  </si>
  <si>
    <t xml:space="preserve">  9o. Dia pós parto</t>
  </si>
  <si>
    <t xml:space="preserve">  11o. Dia pós parto até desmame</t>
  </si>
  <si>
    <t>Matrizes (11 ou mais leitões)</t>
  </si>
  <si>
    <t xml:space="preserve">  4 dias anteriores ao parto</t>
  </si>
  <si>
    <t xml:space="preserve">  1o. Dia pós parto</t>
  </si>
  <si>
    <t>Leitões</t>
  </si>
  <si>
    <t xml:space="preserve">  Papinha (6 - 21 dias)</t>
  </si>
  <si>
    <t xml:space="preserve">  Pré-Inicial 1 (22 - 35 dias)</t>
  </si>
  <si>
    <t xml:space="preserve">  Pré-Inicial 2 (36-49 dias)</t>
  </si>
  <si>
    <t xml:space="preserve">  Inicial (50 - saída da creche)</t>
  </si>
  <si>
    <t>Cachaços</t>
  </si>
  <si>
    <t xml:space="preserve">  120 a 150 kg</t>
  </si>
  <si>
    <t xml:space="preserve">  151 a 200 kg</t>
  </si>
  <si>
    <t xml:space="preserve">  201 a 250 kg</t>
  </si>
  <si>
    <t xml:space="preserve">  251 a 300 kg</t>
  </si>
  <si>
    <t>MEDICAMENTOS</t>
  </si>
  <si>
    <t>Dose/cab/ciclo</t>
  </si>
  <si>
    <t>Ciclos/ano</t>
  </si>
  <si>
    <t>Doses ou ml/cab/ano</t>
  </si>
  <si>
    <t>Vacina Peste Suína Clássica</t>
  </si>
  <si>
    <t>doses/cab/ano</t>
  </si>
  <si>
    <t>Matrizes</t>
  </si>
  <si>
    <t>Vacina Rinite Atrófica</t>
  </si>
  <si>
    <t>Vacina Leptospirose</t>
  </si>
  <si>
    <t>Vacina Parvovirose</t>
  </si>
  <si>
    <t>Vacina Pneumonia Enzoótica</t>
  </si>
  <si>
    <t>Vacina Erisipela</t>
  </si>
  <si>
    <t>Vacina Pleuropneumonia</t>
  </si>
  <si>
    <t>Vacina Aujeszky</t>
  </si>
  <si>
    <t>Vacina Colibacilose</t>
  </si>
  <si>
    <t>MANEJO REPRODUTIVO</t>
  </si>
  <si>
    <t>Quantidade/fêmea/ciclo</t>
  </si>
  <si>
    <t>Qtd/animal/ano</t>
  </si>
  <si>
    <t>Equipamento para inseminação artificial</t>
  </si>
  <si>
    <t>Dose de sêmen</t>
  </si>
  <si>
    <t>MÃO DE OBRA</t>
  </si>
  <si>
    <t>Tipo</t>
  </si>
  <si>
    <t>Quantidade</t>
  </si>
  <si>
    <t>Horas na suinocultura/dia</t>
  </si>
  <si>
    <t>Dias na suinocultura/ano</t>
  </si>
  <si>
    <t>Permanente</t>
  </si>
  <si>
    <t xml:space="preserve">   Padrão</t>
  </si>
  <si>
    <t xml:space="preserve">   -</t>
  </si>
  <si>
    <t>Diarista</t>
  </si>
  <si>
    <t xml:space="preserve">   Veterinário</t>
  </si>
  <si>
    <t xml:space="preserve">   - </t>
  </si>
  <si>
    <t>ÁREAS E MEDIDAS</t>
  </si>
  <si>
    <t>Unidade</t>
  </si>
  <si>
    <t>Área total</t>
  </si>
  <si>
    <t>Área da suinocultura (inclusive biosseguridade)</t>
  </si>
  <si>
    <t xml:space="preserve"> ha</t>
  </si>
  <si>
    <t>Instalação gestação</t>
  </si>
  <si>
    <t>m²</t>
  </si>
  <si>
    <t>Instalação maternidade</t>
  </si>
  <si>
    <t>Instalação creche</t>
  </si>
  <si>
    <t>Instalação cachaços</t>
  </si>
  <si>
    <t>TEMPO DE UTILIZAÇÃO, VIDA ÚTIL E VALOR RESIDUAL</t>
  </si>
  <si>
    <t>Unidades</t>
  </si>
  <si>
    <t>Vida útil (anos)</t>
  </si>
  <si>
    <t>Valor residual (%)</t>
  </si>
  <si>
    <t>Valor residual (R$)</t>
  </si>
  <si>
    <t>Alimentador automático gestação</t>
  </si>
  <si>
    <t>Alimentador creche</t>
  </si>
  <si>
    <t>Brinco eletrônico</t>
  </si>
  <si>
    <t>Gaiolas maternidade</t>
  </si>
  <si>
    <t>Gaiolas gestação</t>
  </si>
  <si>
    <t>Instalações</t>
  </si>
  <si>
    <t>Vida útil (meses)</t>
  </si>
  <si>
    <t>Fêmeas adquiridas</t>
  </si>
  <si>
    <t>MANUTENÇÃO DE EQUIPAMENTOS E INSTALAÇÕES</t>
  </si>
  <si>
    <t>Taxa de manutenção anual</t>
  </si>
  <si>
    <t>Equipamentos</t>
  </si>
  <si>
    <t>ENERGIA E COMBUSTÍVEIS</t>
  </si>
  <si>
    <t>Quantias</t>
  </si>
  <si>
    <t>Diesel</t>
  </si>
  <si>
    <t>Litros/mês</t>
  </si>
  <si>
    <t>Energia elétrica</t>
  </si>
  <si>
    <t>KWh/mês</t>
  </si>
  <si>
    <t>PREÇOS DOS INSUMOS UTILIZADOS NA CRIAÇÃO</t>
  </si>
  <si>
    <t>Insumos</t>
  </si>
  <si>
    <t>Observação</t>
  </si>
  <si>
    <t>Preço</t>
  </si>
  <si>
    <r>
      <t>R$/m</t>
    </r>
    <r>
      <rPr>
        <sz val="13"/>
        <color indexed="8"/>
        <rFont val="Calibri"/>
        <family val="2"/>
      </rPr>
      <t>²</t>
    </r>
  </si>
  <si>
    <t xml:space="preserve">Equipamentos </t>
  </si>
  <si>
    <t>R$/unidade</t>
  </si>
  <si>
    <t>Animais</t>
  </si>
  <si>
    <t>Fêmeas para reprodução</t>
  </si>
  <si>
    <t>Adultas</t>
  </si>
  <si>
    <t>Adultos</t>
  </si>
  <si>
    <t>Fêmeas para reposição</t>
  </si>
  <si>
    <t>Jovens</t>
  </si>
  <si>
    <t>Mão de obra permanente</t>
  </si>
  <si>
    <t>R$/mês</t>
  </si>
  <si>
    <t>Mão de obra diarista</t>
  </si>
  <si>
    <t>R$/dia</t>
  </si>
  <si>
    <t>Energia e combustíveis</t>
  </si>
  <si>
    <t>R$/litro</t>
  </si>
  <si>
    <t>Energia Elétrica</t>
  </si>
  <si>
    <t>R$/KWh</t>
  </si>
  <si>
    <t>Alimentação</t>
  </si>
  <si>
    <t>Ração matrizes gestantes</t>
  </si>
  <si>
    <t>R$/kg</t>
  </si>
  <si>
    <t>Ração matrizes lactantes</t>
  </si>
  <si>
    <t>Papinha</t>
  </si>
  <si>
    <t>Pré inicial 1</t>
  </si>
  <si>
    <t>Pré inicial 2</t>
  </si>
  <si>
    <t>Inicial</t>
  </si>
  <si>
    <t>Ração cachaços</t>
  </si>
  <si>
    <t>Sanidade</t>
  </si>
  <si>
    <t>R$/dose</t>
  </si>
  <si>
    <t>Manejo reprodutivo</t>
  </si>
  <si>
    <t>R$/IA/cab</t>
  </si>
  <si>
    <t>Arrendamento</t>
  </si>
  <si>
    <t>Valor na região</t>
  </si>
  <si>
    <t>R$/ha/ano</t>
  </si>
  <si>
    <t>Impostos e taxas variáveis</t>
  </si>
  <si>
    <t>Impostos (ICMS, entre outros)</t>
  </si>
  <si>
    <t>R$/ano</t>
  </si>
  <si>
    <t>Taxas (GTAs, entre outros)</t>
  </si>
  <si>
    <t>Impostos e taxas fixos</t>
  </si>
  <si>
    <t>Impostos (ITR, entre outros)</t>
  </si>
  <si>
    <t>Taxas (sindicato, entre outros)</t>
  </si>
  <si>
    <t>Funrural</t>
  </si>
  <si>
    <t>Juros sobre capital imobilizado</t>
  </si>
  <si>
    <t>% ao ano</t>
  </si>
  <si>
    <t>Juros sobre capital de giro</t>
  </si>
  <si>
    <t>CUSTOS ANUAIS DE PRODUÇÃO DE LEITÕES</t>
  </si>
  <si>
    <t>A -</t>
  </si>
  <si>
    <t>CUSTOS VARIÁVEIS</t>
  </si>
  <si>
    <t>COEFICIENTES ZOOTÉCNICOS</t>
  </si>
  <si>
    <t xml:space="preserve">I - </t>
  </si>
  <si>
    <t>DESPESAS DE CUSTEIO DA CRIAÇÃO</t>
  </si>
  <si>
    <t>1.</t>
  </si>
  <si>
    <t>No. de matrizes total</t>
  </si>
  <si>
    <t>1.1.</t>
  </si>
  <si>
    <t>No. de matrizes (menos de 11 leitões)</t>
  </si>
  <si>
    <t>1.1.1.</t>
  </si>
  <si>
    <t>Gestação (0-49 dias)</t>
  </si>
  <si>
    <t>kg/cab/ano</t>
  </si>
  <si>
    <t>No. de matrizes (11 ou mais leitões)</t>
  </si>
  <si>
    <t>1.1.2.</t>
  </si>
  <si>
    <t>Gestação (50-84 dias)</t>
  </si>
  <si>
    <t>No. de cachaços (cab)</t>
  </si>
  <si>
    <t>1.1.3.</t>
  </si>
  <si>
    <t>Gestação (85-110 dias)</t>
  </si>
  <si>
    <t>Leitões desmamados por ano (cab)</t>
  </si>
  <si>
    <t>1.1.4.</t>
  </si>
  <si>
    <t>Lactação (Menos de 11 leitões)</t>
  </si>
  <si>
    <t>Leitões vendidos por ano (cab)</t>
  </si>
  <si>
    <t>1.1.5.</t>
  </si>
  <si>
    <t>Lactação (Mais de 11 leitões)</t>
  </si>
  <si>
    <r>
      <t xml:space="preserve">No. de fêmeas adquiridas para reposição </t>
    </r>
    <r>
      <rPr>
        <b/>
        <sz val="13"/>
        <color indexed="9"/>
        <rFont val="Calibri"/>
        <family val="2"/>
      </rPr>
      <t>(cab)</t>
    </r>
  </si>
  <si>
    <t>Taxa de descarte anual de matrizes</t>
  </si>
  <si>
    <t>1.2.</t>
  </si>
  <si>
    <t>Taxa de descarte anual de cachaços</t>
  </si>
  <si>
    <t>1.2.1.</t>
  </si>
  <si>
    <t>Duração do ciclo produtivo (dias)</t>
  </si>
  <si>
    <t>1.2.2.</t>
  </si>
  <si>
    <t>Duração do vazio sanitário (dias)</t>
  </si>
  <si>
    <t>1.2.3.</t>
  </si>
  <si>
    <t>1.2.4.</t>
  </si>
  <si>
    <t>Partos/fêmea/ano</t>
  </si>
  <si>
    <t>Taxa de fertilidade</t>
  </si>
  <si>
    <t>1.3.</t>
  </si>
  <si>
    <t>1.3.1.</t>
  </si>
  <si>
    <t xml:space="preserve">Taxa de repetição de cio </t>
  </si>
  <si>
    <t>1.3.2.</t>
  </si>
  <si>
    <t>Taxa de mortalidade na maternidade</t>
  </si>
  <si>
    <t>1.3.3.</t>
  </si>
  <si>
    <t>Taxa de mortalidade na creche</t>
  </si>
  <si>
    <t>1.3.4.</t>
  </si>
  <si>
    <t>Desmamados/fêmea/parto (cab)</t>
  </si>
  <si>
    <t>Subtotal alimentação</t>
  </si>
  <si>
    <t>Desmamados/fêmea/ano (cab)</t>
  </si>
  <si>
    <t>Nascidos totais/parto (cab)</t>
  </si>
  <si>
    <t>2.</t>
  </si>
  <si>
    <t>Despesas veterinárias</t>
  </si>
  <si>
    <t>Nascidos mortos/parto (natimortos + mumificados)</t>
  </si>
  <si>
    <t>2.1.</t>
  </si>
  <si>
    <t>3.1.1.</t>
  </si>
  <si>
    <t>dose/cab/ano</t>
  </si>
  <si>
    <t>Peso do leitão comercializado (kg)</t>
  </si>
  <si>
    <t>3.1.2.</t>
  </si>
  <si>
    <t>Peso das matrizes de descarte (kg)</t>
  </si>
  <si>
    <t>3.1.3.</t>
  </si>
  <si>
    <t>Peso dos cachaços de descarte (kg)</t>
  </si>
  <si>
    <t>3.1.4.</t>
  </si>
  <si>
    <t>3.1.5.</t>
  </si>
  <si>
    <t>3.1.6.</t>
  </si>
  <si>
    <t>3.1.7.</t>
  </si>
  <si>
    <t>3.1.8.</t>
  </si>
  <si>
    <t>3.1.9.</t>
  </si>
  <si>
    <t>2.2.</t>
  </si>
  <si>
    <t>3.2.1.</t>
  </si>
  <si>
    <t>3.2.2.</t>
  </si>
  <si>
    <t>3.2.3.</t>
  </si>
  <si>
    <t>3.2.4.</t>
  </si>
  <si>
    <t>3.2.5.</t>
  </si>
  <si>
    <t>3.2.6.</t>
  </si>
  <si>
    <t>3.2.7.</t>
  </si>
  <si>
    <t>3.2.8</t>
  </si>
  <si>
    <t>3.2.9.</t>
  </si>
  <si>
    <t>2.3.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</si>
  <si>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</si>
  <si>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</si>
  <si>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</si>
  <si>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</si>
  <si>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</si>
  <si>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</si>
  <si>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</si>
  <si>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</si>
  <si>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</si>
  <si>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Subtotal despesas veterinárias</t>
  </si>
  <si>
    <t>3.</t>
  </si>
  <si>
    <t>Identificação eletrônica matrizes</t>
  </si>
  <si>
    <t>Subtotal identificação eletrônica</t>
  </si>
  <si>
    <t>4.</t>
  </si>
  <si>
    <t>Despesas com reprodução</t>
  </si>
  <si>
    <t>3.1.</t>
  </si>
  <si>
    <t>qtd/cab/ano</t>
  </si>
  <si>
    <t>3.2.</t>
  </si>
  <si>
    <t>Subtotal despesas com reprodução</t>
  </si>
  <si>
    <t>Subtotal - custeio da criação</t>
  </si>
  <si>
    <t>II -</t>
  </si>
  <si>
    <t>OUTRAS DESPESAS VARIÁVEIS</t>
  </si>
  <si>
    <t>Impostos</t>
  </si>
  <si>
    <t>Taxas</t>
  </si>
  <si>
    <t>Subtotal - despesas financeiras</t>
  </si>
  <si>
    <t>SUBTOTAL CUSTOS VARIÁVEIS</t>
  </si>
  <si>
    <t xml:space="preserve">B - </t>
  </si>
  <si>
    <t>CUSTOS FIXOS OPERACIONAIS</t>
  </si>
  <si>
    <t>III -</t>
  </si>
  <si>
    <t>horas/ano</t>
  </si>
  <si>
    <t>1.4.</t>
  </si>
  <si>
    <t>1.5.</t>
  </si>
  <si>
    <t>Mão de obra temporária</t>
  </si>
  <si>
    <t>2.4.</t>
  </si>
  <si>
    <t>2.5.</t>
  </si>
  <si>
    <t>Subtotal - mão de obra</t>
  </si>
  <si>
    <t>IV -</t>
  </si>
  <si>
    <t xml:space="preserve">Diesel </t>
  </si>
  <si>
    <t>litros/ano</t>
  </si>
  <si>
    <t>KWh/ano</t>
  </si>
  <si>
    <t>Subtotal - energia e combustíveis</t>
  </si>
  <si>
    <t>V -</t>
  </si>
  <si>
    <t>DEPRECIAÇÕES</t>
  </si>
  <si>
    <t>Benfeitorias e instalações</t>
  </si>
  <si>
    <r>
      <t>m</t>
    </r>
    <r>
      <rPr>
        <sz val="13"/>
        <color indexed="8"/>
        <rFont val="Calibri"/>
        <family val="2"/>
      </rPr>
      <t>²</t>
    </r>
  </si>
  <si>
    <t>Máquinas e implementos</t>
  </si>
  <si>
    <t>unidades</t>
  </si>
  <si>
    <t>2.6.</t>
  </si>
  <si>
    <t>meses</t>
  </si>
  <si>
    <t>Fêmeas para expansão de rebanho</t>
  </si>
  <si>
    <t>Subtotal - depreciações</t>
  </si>
  <si>
    <t>VI -</t>
  </si>
  <si>
    <t>MANUTENÇÃO E CONSERVAÇÃO</t>
  </si>
  <si>
    <t>Manutenção de máquinas e equipamentos</t>
  </si>
  <si>
    <t>1.6.</t>
  </si>
  <si>
    <t>Instalações benfeitorias</t>
  </si>
  <si>
    <t>Subtotal - manutenções</t>
  </si>
  <si>
    <t>VII -</t>
  </si>
  <si>
    <t>OUTRAS DESPESAS FIXAS</t>
  </si>
  <si>
    <t>Subtotal - outras despesas fixas</t>
  </si>
  <si>
    <t>SUBTOTAL CUSTOS FIXOS OPERACIONAIS</t>
  </si>
  <si>
    <t xml:space="preserve">C - </t>
  </si>
  <si>
    <t>CUSTO OPERACIONAL (A + B)</t>
  </si>
  <si>
    <t>VIII -</t>
  </si>
  <si>
    <t>RENDA DE FATORES</t>
  </si>
  <si>
    <t>Remuneração sobre o capital imobilizado</t>
  </si>
  <si>
    <t>Remuneração sobre capital - instalações</t>
  </si>
  <si>
    <t>Remuneração sobre capital - equipamentos</t>
  </si>
  <si>
    <t>Remuneração sobre capital - reprodutores</t>
  </si>
  <si>
    <t>Remuneração sobre capital - fêmeas para reposição</t>
  </si>
  <si>
    <t>Remuneração sobre o capital de giro</t>
  </si>
  <si>
    <t>Terra (custo de oportunidade do arrendamento)</t>
  </si>
  <si>
    <t>ha</t>
  </si>
  <si>
    <t>Subtotal - renda de fatores</t>
  </si>
  <si>
    <t xml:space="preserve">D - </t>
  </si>
  <si>
    <t>CUSTO TOTAL (C + VIII)</t>
  </si>
  <si>
    <t>RECEITA DOS ANIMAIS DE DESCARTE</t>
  </si>
  <si>
    <t>CUSTO TOTAL POR LEITÃO (CABEÇA)</t>
  </si>
  <si>
    <t>CUSTO TOTAL POR LEITÃO (KG)</t>
  </si>
  <si>
    <t>Tipo de custo</t>
  </si>
  <si>
    <t>% do custo total</t>
  </si>
  <si>
    <t>Variáveis</t>
  </si>
  <si>
    <t>Fixos operacionais</t>
  </si>
  <si>
    <t>Renda dos fatores</t>
  </si>
  <si>
    <t>Item de custo</t>
  </si>
  <si>
    <t>% do total</t>
  </si>
  <si>
    <t>Mão de obra</t>
  </si>
  <si>
    <t>Depreciações</t>
  </si>
  <si>
    <t>Manutenções</t>
  </si>
  <si>
    <t>Manejo sanitário</t>
  </si>
  <si>
    <t>Identificação eletrônica</t>
  </si>
  <si>
    <t>Energia e Combustíveis</t>
  </si>
  <si>
    <t>Impostos e taxas</t>
  </si>
  <si>
    <t>TOTAL</t>
  </si>
  <si>
    <t>RECEITAS DA SUINOCULTURA</t>
  </si>
  <si>
    <t>REFERÊNCIA - QUANTIDADES DISPONÍVEIS POR ANO</t>
  </si>
  <si>
    <t>Vendas</t>
  </si>
  <si>
    <t>Quantidade (kg)</t>
  </si>
  <si>
    <t>Valor (R$/kg)</t>
  </si>
  <si>
    <t>Total</t>
  </si>
  <si>
    <t xml:space="preserve">    Terminação</t>
  </si>
  <si>
    <t xml:space="preserve">   Cabeças</t>
  </si>
  <si>
    <t>Matrizes de descarte</t>
  </si>
  <si>
    <t xml:space="preserve">   Quilos</t>
  </si>
  <si>
    <t xml:space="preserve">    Descarte</t>
  </si>
  <si>
    <t>Cachaços de descarte</t>
  </si>
  <si>
    <t>Total:</t>
  </si>
  <si>
    <t>Receita média por kg de leitão produzido:</t>
  </si>
  <si>
    <t>R$/kg vivo</t>
  </si>
  <si>
    <t>Custo operacional (fixo + variável)</t>
  </si>
  <si>
    <t xml:space="preserve">Renda dos fatores (remuneração do capital e da terra) </t>
  </si>
  <si>
    <t>Custo total (custo operacional + renda dos fatores)</t>
  </si>
  <si>
    <t xml:space="preserve">Lucro econômico da suinocultura (receita - custo total) </t>
  </si>
  <si>
    <t>Renda total ao produtor (lucro atividade + renda fatores) (R$/kg vivo)</t>
  </si>
  <si>
    <t>Renda total ao produtor (lucro atividade + renda fatores) (total)</t>
  </si>
  <si>
    <t>Custo anual (R$)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</si>
</sst>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R$ &quot;* #,##0.00_);_(&quot;R$ &quot;* \(#,##0.00\);_(&quot;R$ &quot;* &quot;-&quot;??_);_(@_)"/>
    <numFmt numFmtId="175" formatCode="_(* #,##0.00_);_(* \(#,##0.00\);_(* &quot;-&quot;??_);_(@_)"/>
    <numFmt numFmtId="176" formatCode="_(* #,##0_);_(* \(#,##0\);_(* &quot;-&quot;_);_(@_)"/>
    <numFmt numFmtId="177" formatCode="_(&quot;R$ &quot;* #,##0_);_(&quot;R$ &quot;* \(#,##0\);_(&quot;R$ &quot;* &quot;-&quot;_);_(@_)"/>
    <numFmt numFmtId="178" formatCode="0.0_ "/>
    <numFmt numFmtId="179" formatCode="mmm\-yy"/>
    <numFmt numFmtId="180" formatCode="0_ "/>
    <numFmt numFmtId="181" formatCode="0.0%"/>
    <numFmt numFmtId="182" formatCode="0.00_ "/>
    <numFmt numFmtId="183" formatCode="0.0000"/>
    <numFmt numFmtId="184" formatCode="0.000_ "/>
    <numFmt numFmtId="185" formatCode="0.000"/>
    <numFmt numFmtId="186" formatCode="0.0"/>
    <numFmt numFmtId="187" formatCode="_(&quot;R$ &quot;* #,##0.000_);_(&quot;R$ &quot;* \(#,##0.000\);_(&quot;R$ &quot;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[$-416]dddd\,\ d&quot; de &quot;mmmm&quot; de &quot;yyyy"/>
    <numFmt numFmtId="192" formatCode="0.00000"/>
    <numFmt numFmtId="193" formatCode="0.000000"/>
    <numFmt numFmtId="194" formatCode="0.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7.15"/>
      <color indexed="8"/>
      <name val="Calibri"/>
      <family val="2"/>
    </font>
    <font>
      <sz val="10.0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10"/>
      <name val="Calibri"/>
      <family val="2"/>
    </font>
    <font>
      <sz val="13"/>
      <color indexed="9"/>
      <name val="Calibri"/>
      <family val="2"/>
    </font>
    <font>
      <b/>
      <i/>
      <sz val="13"/>
      <color indexed="9"/>
      <name val="Calibri"/>
      <family val="2"/>
    </font>
    <font>
      <b/>
      <i/>
      <sz val="13"/>
      <color indexed="8"/>
      <name val="Calibri"/>
      <family val="2"/>
    </font>
    <font>
      <b/>
      <u val="single"/>
      <sz val="13"/>
      <color indexed="9"/>
      <name val="Calibri"/>
      <family val="2"/>
    </font>
    <font>
      <b/>
      <sz val="13"/>
      <color indexed="57"/>
      <name val="Calibri"/>
      <family val="2"/>
    </font>
    <font>
      <u val="single"/>
      <sz val="13"/>
      <color indexed="10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0"/>
      <name val="Calibri"/>
      <family val="2"/>
    </font>
    <font>
      <u val="single"/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sz val="13"/>
      <color theme="0"/>
      <name val="Calibri"/>
      <family val="2"/>
    </font>
    <font>
      <b/>
      <i/>
      <sz val="13"/>
      <color theme="0"/>
      <name val="Calibri"/>
      <family val="2"/>
    </font>
    <font>
      <b/>
      <i/>
      <sz val="13"/>
      <color theme="1"/>
      <name val="Calibri"/>
      <family val="2"/>
    </font>
    <font>
      <sz val="13"/>
      <color rgb="FF000000"/>
      <name val="Calibri"/>
      <family val="2"/>
    </font>
    <font>
      <b/>
      <u val="single"/>
      <sz val="13"/>
      <color theme="0"/>
      <name val="Calibri"/>
      <family val="2"/>
    </font>
    <font>
      <u val="single"/>
      <sz val="13"/>
      <color rgb="FF000000"/>
      <name val="Calibri"/>
      <family val="2"/>
    </font>
    <font>
      <b/>
      <sz val="13"/>
      <color theme="6" tint="-0.24997000396251678"/>
      <name val="Calibri"/>
      <family val="2"/>
    </font>
    <font>
      <u val="single"/>
      <sz val="13"/>
      <color rgb="FFFF0000"/>
      <name val="Calibri"/>
      <family val="2"/>
    </font>
    <font>
      <b/>
      <u val="single"/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4F622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365">
    <xf numFmtId="0" fontId="0" fillId="0" borderId="0" xfId="0" applyFont="1" applyAlignment="1">
      <alignment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horizontal="center"/>
      <protection/>
    </xf>
    <xf numFmtId="0" fontId="60" fillId="34" borderId="10" xfId="0" applyFont="1" applyFill="1" applyBorder="1" applyAlignment="1" applyProtection="1">
      <alignment horizontal="center"/>
      <protection/>
    </xf>
    <xf numFmtId="0" fontId="60" fillId="34" borderId="11" xfId="0" applyFont="1" applyFill="1" applyBorder="1" applyAlignment="1" applyProtection="1">
      <alignment horizontal="center"/>
      <protection/>
    </xf>
    <xf numFmtId="0" fontId="60" fillId="34" borderId="12" xfId="0" applyFont="1" applyFill="1" applyBorder="1" applyAlignment="1" applyProtection="1">
      <alignment horizontal="center"/>
      <protection/>
    </xf>
    <xf numFmtId="0" fontId="60" fillId="34" borderId="10" xfId="0" applyFont="1" applyFill="1" applyBorder="1" applyAlignment="1" applyProtection="1">
      <alignment/>
      <protection/>
    </xf>
    <xf numFmtId="0" fontId="61" fillId="33" borderId="13" xfId="0" applyFont="1" applyFill="1" applyBorder="1" applyAlignment="1" applyProtection="1">
      <alignment/>
      <protection/>
    </xf>
    <xf numFmtId="0" fontId="62" fillId="33" borderId="14" xfId="0" applyFont="1" applyFill="1" applyBorder="1" applyAlignment="1" applyProtection="1">
      <alignment horizontal="center"/>
      <protection/>
    </xf>
    <xf numFmtId="0" fontId="60" fillId="34" borderId="15" xfId="0" applyFont="1" applyFill="1" applyBorder="1" applyAlignment="1" applyProtection="1">
      <alignment horizontal="center"/>
      <protection/>
    </xf>
    <xf numFmtId="0" fontId="61" fillId="33" borderId="16" xfId="0" applyFont="1" applyFill="1" applyBorder="1" applyAlignment="1" applyProtection="1">
      <alignment/>
      <protection/>
    </xf>
    <xf numFmtId="1" fontId="59" fillId="33" borderId="17" xfId="0" applyNumberFormat="1" applyFont="1" applyFill="1" applyBorder="1" applyAlignment="1" applyProtection="1">
      <alignment horizontal="center"/>
      <protection/>
    </xf>
    <xf numFmtId="0" fontId="59" fillId="33" borderId="16" xfId="0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 horizontal="center"/>
      <protection locked="0"/>
    </xf>
    <xf numFmtId="174" fontId="29" fillId="16" borderId="0" xfId="0" applyNumberFormat="1" applyFont="1" applyFill="1" applyBorder="1" applyAlignment="1" applyProtection="1">
      <alignment horizontal="center"/>
      <protection locked="0"/>
    </xf>
    <xf numFmtId="174" fontId="60" fillId="34" borderId="17" xfId="0" applyNumberFormat="1" applyFont="1" applyFill="1" applyBorder="1" applyAlignment="1" applyProtection="1">
      <alignment horizontal="center"/>
      <protection/>
    </xf>
    <xf numFmtId="1" fontId="30" fillId="33" borderId="17" xfId="0" applyNumberFormat="1" applyFont="1" applyFill="1" applyBorder="1" applyAlignment="1" applyProtection="1">
      <alignment horizontal="center"/>
      <protection/>
    </xf>
    <xf numFmtId="3" fontId="63" fillId="33" borderId="0" xfId="0" applyNumberFormat="1" applyFont="1" applyFill="1" applyBorder="1" applyAlignment="1" applyProtection="1">
      <alignment horizontal="center"/>
      <protection/>
    </xf>
    <xf numFmtId="174" fontId="63" fillId="33" borderId="0" xfId="0" applyNumberFormat="1" applyFont="1" applyFill="1" applyBorder="1" applyAlignment="1" applyProtection="1">
      <alignment horizontal="center"/>
      <protection/>
    </xf>
    <xf numFmtId="4" fontId="30" fillId="33" borderId="17" xfId="0" applyNumberFormat="1" applyFont="1" applyFill="1" applyBorder="1" applyAlignment="1" applyProtection="1">
      <alignment horizontal="center"/>
      <protection/>
    </xf>
    <xf numFmtId="0" fontId="59" fillId="33" borderId="18" xfId="0" applyFont="1" applyFill="1" applyBorder="1" applyAlignment="1" applyProtection="1">
      <alignment/>
      <protection/>
    </xf>
    <xf numFmtId="3" fontId="29" fillId="16" borderId="19" xfId="0" applyNumberFormat="1" applyFont="1" applyFill="1" applyBorder="1" applyAlignment="1" applyProtection="1">
      <alignment horizontal="center"/>
      <protection locked="0"/>
    </xf>
    <xf numFmtId="174" fontId="29" fillId="16" borderId="19" xfId="0" applyNumberFormat="1" applyFont="1" applyFill="1" applyBorder="1" applyAlignment="1" applyProtection="1">
      <alignment horizontal="center"/>
      <protection locked="0"/>
    </xf>
    <xf numFmtId="174" fontId="60" fillId="34" borderId="20" xfId="0" applyNumberFormat="1" applyFont="1" applyFill="1" applyBorder="1" applyAlignment="1" applyProtection="1">
      <alignment horizontal="center"/>
      <protection/>
    </xf>
    <xf numFmtId="0" fontId="64" fillId="34" borderId="13" xfId="0" applyFont="1" applyFill="1" applyBorder="1" applyAlignment="1" applyProtection="1">
      <alignment/>
      <protection/>
    </xf>
    <xf numFmtId="0" fontId="64" fillId="34" borderId="14" xfId="0" applyFont="1" applyFill="1" applyBorder="1" applyAlignment="1" applyProtection="1">
      <alignment horizontal="center"/>
      <protection/>
    </xf>
    <xf numFmtId="0" fontId="65" fillId="34" borderId="14" xfId="0" applyFont="1" applyFill="1" applyBorder="1" applyAlignment="1" applyProtection="1">
      <alignment horizontal="right"/>
      <protection/>
    </xf>
    <xf numFmtId="174" fontId="65" fillId="34" borderId="15" xfId="0" applyNumberFormat="1" applyFont="1" applyFill="1" applyBorder="1" applyAlignment="1" applyProtection="1">
      <alignment horizontal="center"/>
      <protection/>
    </xf>
    <xf numFmtId="174" fontId="65" fillId="34" borderId="20" xfId="0" applyNumberFormat="1" applyFont="1" applyFill="1" applyBorder="1" applyAlignment="1" applyProtection="1">
      <alignment horizontal="center"/>
      <protection/>
    </xf>
    <xf numFmtId="0" fontId="59" fillId="33" borderId="16" xfId="0" applyNumberFormat="1" applyFont="1" applyFill="1" applyBorder="1" applyAlignment="1" applyProtection="1">
      <alignment/>
      <protection/>
    </xf>
    <xf numFmtId="178" fontId="59" fillId="33" borderId="17" xfId="0" applyNumberFormat="1" applyFont="1" applyFill="1" applyBorder="1" applyAlignment="1" applyProtection="1">
      <alignment horizontal="center"/>
      <protection/>
    </xf>
    <xf numFmtId="0" fontId="59" fillId="33" borderId="18" xfId="0" applyNumberFormat="1" applyFont="1" applyFill="1" applyBorder="1" applyAlignment="1" applyProtection="1">
      <alignment/>
      <protection/>
    </xf>
    <xf numFmtId="0" fontId="59" fillId="33" borderId="20" xfId="0" applyNumberFormat="1" applyFont="1" applyFill="1" applyBorder="1" applyAlignment="1" applyProtection="1">
      <alignment horizont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34" borderId="11" xfId="0" applyFont="1" applyFill="1" applyBorder="1" applyAlignment="1" applyProtection="1">
      <alignment/>
      <protection/>
    </xf>
    <xf numFmtId="0" fontId="64" fillId="16" borderId="13" xfId="0" applyFont="1" applyFill="1" applyBorder="1" applyAlignment="1" applyProtection="1">
      <alignment/>
      <protection/>
    </xf>
    <xf numFmtId="0" fontId="64" fillId="16" borderId="14" xfId="0" applyFont="1" applyFill="1" applyBorder="1" applyAlignment="1" applyProtection="1">
      <alignment/>
      <protection/>
    </xf>
    <xf numFmtId="0" fontId="64" fillId="16" borderId="15" xfId="0" applyFont="1" applyFill="1" applyBorder="1" applyAlignment="1" applyProtection="1">
      <alignment/>
      <protection/>
    </xf>
    <xf numFmtId="0" fontId="28" fillId="35" borderId="16" xfId="0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174" fontId="29" fillId="35" borderId="17" xfId="53" applyNumberFormat="1" applyFont="1" applyFill="1" applyBorder="1" applyAlignment="1" applyProtection="1">
      <alignment/>
      <protection/>
    </xf>
    <xf numFmtId="10" fontId="59" fillId="33" borderId="0" xfId="51" applyNumberFormat="1" applyFont="1" applyFill="1" applyAlignment="1" applyProtection="1">
      <alignment horizontal="center"/>
      <protection/>
    </xf>
    <xf numFmtId="0" fontId="34" fillId="35" borderId="18" xfId="0" applyFont="1" applyFill="1" applyBorder="1" applyAlignment="1" applyProtection="1">
      <alignment/>
      <protection/>
    </xf>
    <xf numFmtId="0" fontId="34" fillId="35" borderId="19" xfId="0" applyFont="1" applyFill="1" applyBorder="1" applyAlignment="1" applyProtection="1">
      <alignment/>
      <protection/>
    </xf>
    <xf numFmtId="0" fontId="34" fillId="35" borderId="20" xfId="0" applyFont="1" applyFill="1" applyBorder="1" applyAlignment="1" applyProtection="1">
      <alignment/>
      <protection/>
    </xf>
    <xf numFmtId="174" fontId="60" fillId="36" borderId="12" xfId="53" applyNumberFormat="1" applyFont="1" applyFill="1" applyBorder="1" applyAlignment="1" applyProtection="1">
      <alignment/>
      <protection/>
    </xf>
    <xf numFmtId="175" fontId="59" fillId="33" borderId="0" xfId="0" applyNumberFormat="1" applyFont="1" applyFill="1" applyAlignment="1" applyProtection="1">
      <alignment/>
      <protection/>
    </xf>
    <xf numFmtId="0" fontId="59" fillId="16" borderId="13" xfId="0" applyFont="1" applyFill="1" applyBorder="1" applyAlignment="1" applyProtection="1">
      <alignment/>
      <protection/>
    </xf>
    <xf numFmtId="174" fontId="59" fillId="16" borderId="14" xfId="0" applyNumberFormat="1" applyFont="1" applyFill="1" applyBorder="1" applyAlignment="1" applyProtection="1">
      <alignment/>
      <protection/>
    </xf>
    <xf numFmtId="10" fontId="59" fillId="16" borderId="17" xfId="51" applyNumberFormat="1" applyFont="1" applyFill="1" applyBorder="1" applyAlignment="1" applyProtection="1">
      <alignment horizontal="center"/>
      <protection/>
    </xf>
    <xf numFmtId="0" fontId="59" fillId="16" borderId="16" xfId="0" applyFont="1" applyFill="1" applyBorder="1" applyAlignment="1" applyProtection="1">
      <alignment/>
      <protection/>
    </xf>
    <xf numFmtId="174" fontId="59" fillId="16" borderId="0" xfId="0" applyNumberFormat="1" applyFont="1" applyFill="1" applyBorder="1" applyAlignment="1" applyProtection="1">
      <alignment/>
      <protection/>
    </xf>
    <xf numFmtId="0" fontId="59" fillId="16" borderId="18" xfId="0" applyFont="1" applyFill="1" applyBorder="1" applyAlignment="1" applyProtection="1">
      <alignment/>
      <protection/>
    </xf>
    <xf numFmtId="174" fontId="59" fillId="16" borderId="19" xfId="0" applyNumberFormat="1" applyFont="1" applyFill="1" applyBorder="1" applyAlignment="1" applyProtection="1">
      <alignment/>
      <protection/>
    </xf>
    <xf numFmtId="10" fontId="59" fillId="16" borderId="20" xfId="51" applyNumberFormat="1" applyFont="1" applyFill="1" applyBorder="1" applyAlignment="1" applyProtection="1">
      <alignment horizontal="center"/>
      <protection/>
    </xf>
    <xf numFmtId="10" fontId="59" fillId="16" borderId="15" xfId="51" applyNumberFormat="1" applyFont="1" applyFill="1" applyBorder="1" applyAlignment="1" applyProtection="1">
      <alignment horizontal="center"/>
      <protection/>
    </xf>
    <xf numFmtId="174" fontId="60" fillId="34" borderId="11" xfId="0" applyNumberFormat="1" applyFont="1" applyFill="1" applyBorder="1" applyAlignment="1" applyProtection="1">
      <alignment/>
      <protection/>
    </xf>
    <xf numFmtId="10" fontId="60" fillId="34" borderId="12" xfId="0" applyNumberFormat="1" applyFont="1" applyFill="1" applyBorder="1" applyAlignment="1" applyProtection="1">
      <alignment horizontal="center"/>
      <protection/>
    </xf>
    <xf numFmtId="0" fontId="66" fillId="33" borderId="0" xfId="0" applyFont="1" applyFill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 horizontal="right"/>
      <protection/>
    </xf>
    <xf numFmtId="0" fontId="30" fillId="33" borderId="0" xfId="0" applyFont="1" applyFill="1" applyAlignment="1" applyProtection="1">
      <alignment horizontal="center"/>
      <protection/>
    </xf>
    <xf numFmtId="0" fontId="60" fillId="34" borderId="11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horizontal="right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Alignment="1" applyProtection="1">
      <alignment horizontal="left"/>
      <protection/>
    </xf>
    <xf numFmtId="0" fontId="59" fillId="33" borderId="0" xfId="0" applyFont="1" applyFill="1" applyBorder="1" applyAlignment="1" applyProtection="1">
      <alignment/>
      <protection/>
    </xf>
    <xf numFmtId="0" fontId="59" fillId="33" borderId="21" xfId="0" applyFont="1" applyFill="1" applyBorder="1" applyAlignment="1" applyProtection="1">
      <alignment/>
      <protection/>
    </xf>
    <xf numFmtId="0" fontId="59" fillId="33" borderId="21" xfId="0" applyFont="1" applyFill="1" applyBorder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66" fillId="33" borderId="22" xfId="0" applyFont="1" applyFill="1" applyBorder="1" applyAlignment="1" applyProtection="1">
      <alignment horizontal="center"/>
      <protection/>
    </xf>
    <xf numFmtId="0" fontId="59" fillId="33" borderId="22" xfId="0" applyFont="1" applyFill="1" applyBorder="1" applyAlignment="1" applyProtection="1">
      <alignment horizontal="center"/>
      <protection/>
    </xf>
    <xf numFmtId="0" fontId="60" fillId="34" borderId="13" xfId="0" applyFont="1" applyFill="1" applyBorder="1" applyAlignment="1" applyProtection="1">
      <alignment/>
      <protection/>
    </xf>
    <xf numFmtId="0" fontId="29" fillId="16" borderId="15" xfId="0" applyFont="1" applyFill="1" applyBorder="1" applyAlignment="1" applyProtection="1">
      <alignment horizontal="center"/>
      <protection locked="0"/>
    </xf>
    <xf numFmtId="0" fontId="60" fillId="34" borderId="16" xfId="0" applyNumberFormat="1" applyFont="1" applyFill="1" applyBorder="1" applyAlignment="1" applyProtection="1">
      <alignment/>
      <protection/>
    </xf>
    <xf numFmtId="0" fontId="29" fillId="16" borderId="17" xfId="0" applyFont="1" applyFill="1" applyBorder="1" applyAlignment="1" applyProtection="1">
      <alignment horizontal="center"/>
      <protection locked="0"/>
    </xf>
    <xf numFmtId="178" fontId="59" fillId="33" borderId="22" xfId="0" applyNumberFormat="1" applyFont="1" applyFill="1" applyBorder="1" applyAlignment="1" applyProtection="1">
      <alignment horizontal="center"/>
      <protection/>
    </xf>
    <xf numFmtId="0" fontId="60" fillId="34" borderId="16" xfId="0" applyFont="1" applyFill="1" applyBorder="1" applyAlignment="1" applyProtection="1">
      <alignment/>
      <protection/>
    </xf>
    <xf numFmtId="180" fontId="60" fillId="34" borderId="17" xfId="0" applyNumberFormat="1" applyFont="1" applyFill="1" applyBorder="1" applyAlignment="1" applyProtection="1">
      <alignment horizontal="center"/>
      <protection locked="0"/>
    </xf>
    <xf numFmtId="1" fontId="60" fillId="34" borderId="17" xfId="0" applyNumberFormat="1" applyFont="1" applyFill="1" applyBorder="1" applyAlignment="1" applyProtection="1">
      <alignment horizontal="center"/>
      <protection/>
    </xf>
    <xf numFmtId="0" fontId="60" fillId="34" borderId="17" xfId="0" applyFont="1" applyFill="1" applyBorder="1" applyAlignment="1" applyProtection="1">
      <alignment horizontal="center"/>
      <protection locked="0"/>
    </xf>
    <xf numFmtId="2" fontId="59" fillId="33" borderId="22" xfId="0" applyNumberFormat="1" applyFont="1" applyFill="1" applyBorder="1" applyAlignment="1" applyProtection="1">
      <alignment horizontal="center"/>
      <protection/>
    </xf>
    <xf numFmtId="9" fontId="29" fillId="16" borderId="17" xfId="51" applyNumberFormat="1" applyFont="1" applyFill="1" applyBorder="1" applyAlignment="1" applyProtection="1">
      <alignment horizontal="center"/>
      <protection locked="0"/>
    </xf>
    <xf numFmtId="178" fontId="60" fillId="34" borderId="17" xfId="0" applyNumberFormat="1" applyFont="1" applyFill="1" applyBorder="1" applyAlignment="1" applyProtection="1">
      <alignment horizontal="center"/>
      <protection locked="0"/>
    </xf>
    <xf numFmtId="181" fontId="29" fillId="16" borderId="17" xfId="0" applyNumberFormat="1" applyFont="1" applyFill="1" applyBorder="1" applyAlignment="1" applyProtection="1">
      <alignment horizontal="center"/>
      <protection locked="0"/>
    </xf>
    <xf numFmtId="181" fontId="29" fillId="16" borderId="17" xfId="51" applyNumberFormat="1" applyFont="1" applyFill="1" applyBorder="1" applyAlignment="1" applyProtection="1">
      <alignment horizontal="center"/>
      <protection locked="0"/>
    </xf>
    <xf numFmtId="178" fontId="29" fillId="16" borderId="17" xfId="0" applyNumberFormat="1" applyFont="1" applyFill="1" applyBorder="1" applyAlignment="1" applyProtection="1">
      <alignment horizontal="center"/>
      <protection locked="0"/>
    </xf>
    <xf numFmtId="10" fontId="29" fillId="16" borderId="17" xfId="0" applyNumberFormat="1" applyFont="1" applyFill="1" applyBorder="1" applyAlignment="1" applyProtection="1">
      <alignment horizontal="center"/>
      <protection locked="0"/>
    </xf>
    <xf numFmtId="1" fontId="59" fillId="33" borderId="22" xfId="0" applyNumberFormat="1" applyFont="1" applyFill="1" applyBorder="1" applyAlignment="1" applyProtection="1">
      <alignment horizontal="center"/>
      <protection/>
    </xf>
    <xf numFmtId="178" fontId="62" fillId="16" borderId="17" xfId="0" applyNumberFormat="1" applyFont="1" applyFill="1" applyBorder="1" applyAlignment="1" applyProtection="1">
      <alignment horizontal="center"/>
      <protection/>
    </xf>
    <xf numFmtId="0" fontId="62" fillId="16" borderId="17" xfId="0" applyNumberFormat="1" applyFont="1" applyFill="1" applyBorder="1" applyAlignment="1" applyProtection="1">
      <alignment horizontal="center"/>
      <protection/>
    </xf>
    <xf numFmtId="0" fontId="60" fillId="34" borderId="18" xfId="0" applyNumberFormat="1" applyFont="1" applyFill="1" applyBorder="1" applyAlignment="1" applyProtection="1">
      <alignment/>
      <protection/>
    </xf>
    <xf numFmtId="0" fontId="62" fillId="16" borderId="20" xfId="0" applyNumberFormat="1" applyFont="1" applyFill="1" applyBorder="1" applyAlignment="1" applyProtection="1">
      <alignment horizontal="center"/>
      <protection/>
    </xf>
    <xf numFmtId="180" fontId="59" fillId="33" borderId="22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182" fontId="59" fillId="33" borderId="22" xfId="0" applyNumberFormat="1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/>
      <protection/>
    </xf>
    <xf numFmtId="0" fontId="30" fillId="33" borderId="22" xfId="0" applyFont="1" applyFill="1" applyBorder="1" applyAlignment="1" applyProtection="1">
      <alignment horizontal="center"/>
      <protection/>
    </xf>
    <xf numFmtId="0" fontId="59" fillId="33" borderId="22" xfId="0" applyFont="1" applyFill="1" applyBorder="1" applyAlignment="1" applyProtection="1">
      <alignment/>
      <protection/>
    </xf>
    <xf numFmtId="180" fontId="59" fillId="33" borderId="22" xfId="0" applyNumberFormat="1" applyFont="1" applyFill="1" applyBorder="1" applyAlignment="1" applyProtection="1">
      <alignment horizontal="center" vertical="center"/>
      <protection/>
    </xf>
    <xf numFmtId="0" fontId="59" fillId="33" borderId="22" xfId="0" applyFont="1" applyFill="1" applyBorder="1" applyAlignment="1" applyProtection="1">
      <alignment horizontal="center" vertical="center"/>
      <protection/>
    </xf>
    <xf numFmtId="180" fontId="59" fillId="33" borderId="0" xfId="0" applyNumberFormat="1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174" fontId="59" fillId="33" borderId="0" xfId="0" applyNumberFormat="1" applyFont="1" applyFill="1" applyBorder="1" applyAlignment="1" applyProtection="1">
      <alignment/>
      <protection/>
    </xf>
    <xf numFmtId="178" fontId="30" fillId="33" borderId="22" xfId="0" applyNumberFormat="1" applyFont="1" applyFill="1" applyBorder="1" applyAlignment="1" applyProtection="1">
      <alignment horizontal="center"/>
      <protection/>
    </xf>
    <xf numFmtId="0" fontId="66" fillId="33" borderId="19" xfId="0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/>
      <protection/>
    </xf>
    <xf numFmtId="0" fontId="60" fillId="34" borderId="10" xfId="0" applyFont="1" applyFill="1" applyBorder="1" applyAlignment="1" applyProtection="1">
      <alignment horizontal="left"/>
      <protection/>
    </xf>
    <xf numFmtId="10" fontId="30" fillId="33" borderId="22" xfId="0" applyNumberFormat="1" applyFont="1" applyFill="1" applyBorder="1" applyAlignment="1" applyProtection="1">
      <alignment horizontal="center" vertical="center"/>
      <protection/>
    </xf>
    <xf numFmtId="0" fontId="59" fillId="33" borderId="23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/>
      <protection/>
    </xf>
    <xf numFmtId="183" fontId="29" fillId="33" borderId="0" xfId="0" applyNumberFormat="1" applyFont="1" applyFill="1" applyAlignment="1" applyProtection="1">
      <alignment horizontal="center"/>
      <protection/>
    </xf>
    <xf numFmtId="0" fontId="30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179" fontId="68" fillId="34" borderId="13" xfId="0" applyNumberFormat="1" applyFont="1" applyFill="1" applyBorder="1" applyAlignment="1" applyProtection="1">
      <alignment/>
      <protection/>
    </xf>
    <xf numFmtId="179" fontId="60" fillId="34" borderId="18" xfId="0" applyNumberFormat="1" applyFont="1" applyFill="1" applyBorder="1" applyAlignment="1" applyProtection="1">
      <alignment horizontal="center"/>
      <protection/>
    </xf>
    <xf numFmtId="0" fontId="62" fillId="33" borderId="13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59" fillId="33" borderId="13" xfId="0" applyFont="1" applyFill="1" applyBorder="1" applyAlignment="1" applyProtection="1">
      <alignment horizontal="center"/>
      <protection/>
    </xf>
    <xf numFmtId="0" fontId="30" fillId="33" borderId="16" xfId="0" applyFont="1" applyFill="1" applyBorder="1" applyAlignment="1" applyProtection="1">
      <alignment horizontal="center"/>
      <protection/>
    </xf>
    <xf numFmtId="0" fontId="30" fillId="33" borderId="17" xfId="0" applyFont="1" applyFill="1" applyBorder="1" applyAlignment="1" applyProtection="1">
      <alignment horizontal="center"/>
      <protection/>
    </xf>
    <xf numFmtId="0" fontId="62" fillId="33" borderId="16" xfId="0" applyFont="1" applyFill="1" applyBorder="1" applyAlignment="1" applyProtection="1">
      <alignment/>
      <protection/>
    </xf>
    <xf numFmtId="0" fontId="59" fillId="33" borderId="17" xfId="0" applyFont="1" applyFill="1" applyBorder="1" applyAlignment="1" applyProtection="1">
      <alignment/>
      <protection/>
    </xf>
    <xf numFmtId="0" fontId="59" fillId="33" borderId="16" xfId="0" applyFont="1" applyFill="1" applyBorder="1" applyAlignment="1" applyProtection="1">
      <alignment horizontal="center"/>
      <protection/>
    </xf>
    <xf numFmtId="0" fontId="30" fillId="16" borderId="16" xfId="0" applyFont="1" applyFill="1" applyBorder="1" applyAlignment="1" applyProtection="1">
      <alignment horizontal="center"/>
      <protection/>
    </xf>
    <xf numFmtId="174" fontId="29" fillId="16" borderId="17" xfId="47" applyFont="1" applyFill="1" applyBorder="1" applyAlignment="1" applyProtection="1">
      <alignment horizontal="center"/>
      <protection/>
    </xf>
    <xf numFmtId="4" fontId="29" fillId="16" borderId="16" xfId="0" applyNumberFormat="1" applyFont="1" applyFill="1" applyBorder="1" applyAlignment="1" applyProtection="1">
      <alignment horizontal="center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62" fillId="33" borderId="17" xfId="0" applyFont="1" applyFill="1" applyBorder="1" applyAlignment="1" applyProtection="1">
      <alignment horizontal="left"/>
      <protection/>
    </xf>
    <xf numFmtId="4" fontId="30" fillId="33" borderId="16" xfId="0" applyNumberFormat="1" applyFont="1" applyFill="1" applyBorder="1" applyAlignment="1" applyProtection="1">
      <alignment horizontal="center"/>
      <protection/>
    </xf>
    <xf numFmtId="174" fontId="29" fillId="33" borderId="17" xfId="47" applyFont="1" applyFill="1" applyBorder="1" applyAlignment="1" applyProtection="1">
      <alignment horizontal="center"/>
      <protection/>
    </xf>
    <xf numFmtId="174" fontId="29" fillId="16" borderId="17" xfId="47" applyFont="1" applyFill="1" applyBorder="1" applyAlignment="1" applyProtection="1">
      <alignment horizontal="center"/>
      <protection locked="0"/>
    </xf>
    <xf numFmtId="0" fontId="62" fillId="33" borderId="17" xfId="0" applyFont="1" applyFill="1" applyBorder="1" applyAlignment="1" applyProtection="1">
      <alignment/>
      <protection/>
    </xf>
    <xf numFmtId="4" fontId="29" fillId="33" borderId="16" xfId="0" applyNumberFormat="1" applyFont="1" applyFill="1" applyBorder="1" applyAlignment="1" applyProtection="1">
      <alignment horizontal="center"/>
      <protection/>
    </xf>
    <xf numFmtId="0" fontId="30" fillId="33" borderId="16" xfId="0" applyFont="1" applyFill="1" applyBorder="1" applyAlignment="1" applyProtection="1">
      <alignment/>
      <protection/>
    </xf>
    <xf numFmtId="0" fontId="30" fillId="33" borderId="17" xfId="0" applyFont="1" applyFill="1" applyBorder="1" applyAlignment="1" applyProtection="1">
      <alignment/>
      <protection/>
    </xf>
    <xf numFmtId="0" fontId="29" fillId="33" borderId="16" xfId="0" applyFont="1" applyFill="1" applyBorder="1" applyAlignment="1" applyProtection="1">
      <alignment horizontal="left"/>
      <protection/>
    </xf>
    <xf numFmtId="0" fontId="30" fillId="33" borderId="17" xfId="0" applyFont="1" applyFill="1" applyBorder="1" applyAlignment="1" applyProtection="1">
      <alignment horizontal="left"/>
      <protection/>
    </xf>
    <xf numFmtId="0" fontId="59" fillId="33" borderId="17" xfId="0" applyFont="1" applyFill="1" applyBorder="1" applyAlignment="1" applyProtection="1">
      <alignment horizontal="left"/>
      <protection/>
    </xf>
    <xf numFmtId="0" fontId="30" fillId="33" borderId="16" xfId="0" applyFont="1" applyFill="1" applyBorder="1" applyAlignment="1" applyProtection="1">
      <alignment/>
      <protection/>
    </xf>
    <xf numFmtId="0" fontId="30" fillId="33" borderId="17" xfId="0" applyFont="1" applyFill="1" applyBorder="1" applyAlignment="1" applyProtection="1">
      <alignment/>
      <protection/>
    </xf>
    <xf numFmtId="0" fontId="59" fillId="33" borderId="16" xfId="0" applyFont="1" applyFill="1" applyBorder="1" applyAlignment="1" applyProtection="1">
      <alignment/>
      <protection/>
    </xf>
    <xf numFmtId="0" fontId="59" fillId="33" borderId="17" xfId="0" applyFont="1" applyFill="1" applyBorder="1" applyAlignment="1" applyProtection="1">
      <alignment/>
      <protection/>
    </xf>
    <xf numFmtId="4" fontId="29" fillId="37" borderId="16" xfId="0" applyNumberFormat="1" applyFont="1" applyFill="1" applyBorder="1" applyAlignment="1" applyProtection="1">
      <alignment horizontal="center"/>
      <protection/>
    </xf>
    <xf numFmtId="174" fontId="29" fillId="37" borderId="17" xfId="47" applyFont="1" applyFill="1" applyBorder="1" applyAlignment="1" applyProtection="1">
      <alignment horizontal="center"/>
      <protection/>
    </xf>
    <xf numFmtId="0" fontId="63" fillId="33" borderId="16" xfId="0" applyFont="1" applyFill="1" applyBorder="1" applyAlignment="1" applyProtection="1">
      <alignment/>
      <protection/>
    </xf>
    <xf numFmtId="0" fontId="30" fillId="33" borderId="16" xfId="0" applyFont="1" applyFill="1" applyBorder="1" applyAlignment="1" applyProtection="1">
      <alignment horizontal="left"/>
      <protection/>
    </xf>
    <xf numFmtId="0" fontId="59" fillId="33" borderId="16" xfId="0" applyFont="1" applyFill="1" applyBorder="1" applyAlignment="1" applyProtection="1">
      <alignment horizontal="left"/>
      <protection/>
    </xf>
    <xf numFmtId="174" fontId="30" fillId="33" borderId="17" xfId="47" applyFont="1" applyFill="1" applyBorder="1" applyAlignment="1" applyProtection="1">
      <alignment horizontal="center"/>
      <protection/>
    </xf>
    <xf numFmtId="10" fontId="29" fillId="16" borderId="16" xfId="51" applyNumberFormat="1" applyFont="1" applyFill="1" applyBorder="1" applyAlignment="1" applyProtection="1">
      <alignment horizontal="center"/>
      <protection/>
    </xf>
    <xf numFmtId="10" fontId="29" fillId="16" borderId="17" xfId="51" applyNumberFormat="1" applyFont="1" applyFill="1" applyBorder="1" applyAlignment="1" applyProtection="1">
      <alignment horizontal="center"/>
      <protection locked="0"/>
    </xf>
    <xf numFmtId="0" fontId="59" fillId="33" borderId="18" xfId="0" applyFont="1" applyFill="1" applyBorder="1" applyAlignment="1" applyProtection="1">
      <alignment horizontal="center"/>
      <protection/>
    </xf>
    <xf numFmtId="10" fontId="29" fillId="16" borderId="18" xfId="51" applyNumberFormat="1" applyFont="1" applyFill="1" applyBorder="1" applyAlignment="1" applyProtection="1">
      <alignment horizontal="center"/>
      <protection/>
    </xf>
    <xf numFmtId="10" fontId="29" fillId="16" borderId="20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0" fillId="34" borderId="13" xfId="0" applyFont="1" applyFill="1" applyBorder="1" applyAlignment="1" applyProtection="1">
      <alignment horizontal="center" vertical="center" wrapText="1"/>
      <protection/>
    </xf>
    <xf numFmtId="0" fontId="60" fillId="34" borderId="14" xfId="0" applyFont="1" applyFill="1" applyBorder="1" applyAlignment="1" applyProtection="1">
      <alignment horizontal="center" vertical="center" wrapText="1"/>
      <protection/>
    </xf>
    <xf numFmtId="0" fontId="60" fillId="34" borderId="24" xfId="0" applyFont="1" applyFill="1" applyBorder="1" applyAlignment="1" applyProtection="1">
      <alignment horizontal="center" vertical="center" wrapText="1"/>
      <protection/>
    </xf>
    <xf numFmtId="0" fontId="69" fillId="33" borderId="13" xfId="0" applyFont="1" applyFill="1" applyBorder="1" applyAlignment="1" applyProtection="1">
      <alignment/>
      <protection/>
    </xf>
    <xf numFmtId="0" fontId="67" fillId="33" borderId="14" xfId="0" applyFont="1" applyFill="1" applyBorder="1" applyAlignment="1" applyProtection="1">
      <alignment horizontal="center"/>
      <protection/>
    </xf>
    <xf numFmtId="0" fontId="59" fillId="33" borderId="14" xfId="0" applyFont="1" applyFill="1" applyBorder="1" applyAlignment="1" applyProtection="1">
      <alignment horizontal="center"/>
      <protection/>
    </xf>
    <xf numFmtId="0" fontId="30" fillId="33" borderId="14" xfId="0" applyFont="1" applyFill="1" applyBorder="1" applyAlignment="1" applyProtection="1">
      <alignment/>
      <protection/>
    </xf>
    <xf numFmtId="0" fontId="30" fillId="33" borderId="14" xfId="0" applyFont="1" applyFill="1" applyBorder="1" applyAlignment="1" applyProtection="1">
      <alignment horizontal="center" wrapText="1"/>
      <protection/>
    </xf>
    <xf numFmtId="0" fontId="30" fillId="33" borderId="24" xfId="0" applyFont="1" applyFill="1" applyBorder="1" applyAlignment="1" applyProtection="1">
      <alignment horizontal="center" wrapText="1"/>
      <protection/>
    </xf>
    <xf numFmtId="0" fontId="67" fillId="33" borderId="16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center"/>
      <protection/>
    </xf>
    <xf numFmtId="0" fontId="29" fillId="37" borderId="0" xfId="0" applyFont="1" applyFill="1" applyBorder="1" applyAlignment="1" applyProtection="1">
      <alignment horizontal="center"/>
      <protection/>
    </xf>
    <xf numFmtId="184" fontId="29" fillId="37" borderId="0" xfId="0" applyNumberFormat="1" applyFont="1" applyFill="1" applyBorder="1" applyAlignment="1" applyProtection="1">
      <alignment horizontal="center" wrapText="1"/>
      <protection/>
    </xf>
    <xf numFmtId="0" fontId="67" fillId="33" borderId="18" xfId="0" applyFont="1" applyFill="1" applyBorder="1" applyAlignment="1" applyProtection="1">
      <alignment/>
      <protection/>
    </xf>
    <xf numFmtId="0" fontId="67" fillId="33" borderId="19" xfId="0" applyFont="1" applyFill="1" applyBorder="1" applyAlignment="1" applyProtection="1">
      <alignment horizontal="center"/>
      <protection/>
    </xf>
    <xf numFmtId="0" fontId="59" fillId="33" borderId="19" xfId="0" applyFont="1" applyFill="1" applyBorder="1" applyAlignment="1" applyProtection="1">
      <alignment horizontal="center"/>
      <protection/>
    </xf>
    <xf numFmtId="0" fontId="29" fillId="37" borderId="19" xfId="0" applyFont="1" applyFill="1" applyBorder="1" applyAlignment="1" applyProtection="1">
      <alignment horizontal="center"/>
      <protection/>
    </xf>
    <xf numFmtId="184" fontId="29" fillId="37" borderId="19" xfId="0" applyNumberFormat="1" applyFont="1" applyFill="1" applyBorder="1" applyAlignment="1" applyProtection="1">
      <alignment horizontal="center" wrapText="1"/>
      <protection/>
    </xf>
    <xf numFmtId="0" fontId="69" fillId="33" borderId="16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" wrapText="1"/>
      <protection/>
    </xf>
    <xf numFmtId="0" fontId="30" fillId="33" borderId="25" xfId="0" applyFont="1" applyFill="1" applyBorder="1" applyAlignment="1" applyProtection="1">
      <alignment horizontal="center" wrapText="1"/>
      <protection/>
    </xf>
    <xf numFmtId="0" fontId="62" fillId="16" borderId="0" xfId="0" applyFont="1" applyFill="1" applyBorder="1" applyAlignment="1" applyProtection="1">
      <alignment horizontal="center"/>
      <protection locked="0"/>
    </xf>
    <xf numFmtId="185" fontId="62" fillId="16" borderId="0" xfId="0" applyNumberFormat="1" applyFont="1" applyFill="1" applyBorder="1" applyAlignment="1" applyProtection="1">
      <alignment horizontal="center"/>
      <protection locked="0"/>
    </xf>
    <xf numFmtId="1" fontId="29" fillId="33" borderId="25" xfId="0" applyNumberFormat="1" applyFont="1" applyFill="1" applyBorder="1" applyAlignment="1" applyProtection="1">
      <alignment horizontal="center" wrapText="1"/>
      <protection/>
    </xf>
    <xf numFmtId="1" fontId="29" fillId="16" borderId="0" xfId="0" applyNumberFormat="1" applyFont="1" applyFill="1" applyBorder="1" applyAlignment="1" applyProtection="1">
      <alignment horizontal="center"/>
      <protection locked="0"/>
    </xf>
    <xf numFmtId="185" fontId="29" fillId="16" borderId="0" xfId="0" applyNumberFormat="1" applyFont="1" applyFill="1" applyBorder="1" applyAlignment="1" applyProtection="1">
      <alignment horizontal="center" wrapText="1"/>
      <protection locked="0"/>
    </xf>
    <xf numFmtId="0" fontId="29" fillId="16" borderId="0" xfId="0" applyFont="1" applyFill="1" applyBorder="1" applyAlignment="1" applyProtection="1">
      <alignment horizontal="center"/>
      <protection locked="0"/>
    </xf>
    <xf numFmtId="185" fontId="29" fillId="16" borderId="0" xfId="0" applyNumberFormat="1" applyFont="1" applyFill="1" applyBorder="1" applyAlignment="1" applyProtection="1">
      <alignment horizontal="center"/>
      <protection locked="0"/>
    </xf>
    <xf numFmtId="1" fontId="29" fillId="33" borderId="26" xfId="0" applyNumberFormat="1" applyFont="1" applyFill="1" applyBorder="1" applyAlignment="1" applyProtection="1">
      <alignment horizontal="center" wrapText="1"/>
      <protection/>
    </xf>
    <xf numFmtId="0" fontId="29" fillId="33" borderId="14" xfId="0" applyFont="1" applyFill="1" applyBorder="1" applyAlignment="1" applyProtection="1">
      <alignment/>
      <protection/>
    </xf>
    <xf numFmtId="185" fontId="29" fillId="33" borderId="14" xfId="0" applyNumberFormat="1" applyFont="1" applyFill="1" applyBorder="1" applyAlignment="1" applyProtection="1">
      <alignment horizontal="center" wrapText="1"/>
      <protection/>
    </xf>
    <xf numFmtId="0" fontId="30" fillId="33" borderId="18" xfId="0" applyFont="1" applyFill="1" applyBorder="1" applyAlignment="1" applyProtection="1">
      <alignment/>
      <protection/>
    </xf>
    <xf numFmtId="0" fontId="29" fillId="16" borderId="19" xfId="0" applyFont="1" applyFill="1" applyBorder="1" applyAlignment="1" applyProtection="1">
      <alignment horizontal="center"/>
      <protection locked="0"/>
    </xf>
    <xf numFmtId="185" fontId="29" fillId="16" borderId="19" xfId="0" applyNumberFormat="1" applyFont="1" applyFill="1" applyBorder="1" applyAlignment="1" applyProtection="1">
      <alignment horizontal="center" wrapText="1"/>
      <protection locked="0"/>
    </xf>
    <xf numFmtId="0" fontId="69" fillId="33" borderId="14" xfId="0" applyFont="1" applyFill="1" applyBorder="1" applyAlignment="1" applyProtection="1">
      <alignment horizontal="center"/>
      <protection/>
    </xf>
    <xf numFmtId="0" fontId="29" fillId="33" borderId="14" xfId="0" applyFont="1" applyFill="1" applyBorder="1" applyAlignment="1" applyProtection="1">
      <alignment horizontal="center"/>
      <protection/>
    </xf>
    <xf numFmtId="0" fontId="59" fillId="33" borderId="16" xfId="0" applyFont="1" applyFill="1" applyBorder="1" applyAlignment="1">
      <alignment horizontal="justify" vertical="top" wrapText="1"/>
    </xf>
    <xf numFmtId="0" fontId="59" fillId="33" borderId="18" xfId="0" applyFont="1" applyFill="1" applyBorder="1" applyAlignment="1">
      <alignment horizontal="justify" vertical="top" wrapText="1"/>
    </xf>
    <xf numFmtId="0" fontId="29" fillId="33" borderId="0" xfId="0" applyFont="1" applyFill="1" applyBorder="1" applyAlignment="1" applyProtection="1">
      <alignment horizontal="center"/>
      <protection locked="0"/>
    </xf>
    <xf numFmtId="185" fontId="29" fillId="33" borderId="0" xfId="0" applyNumberFormat="1" applyFont="1" applyFill="1" applyBorder="1" applyAlignment="1" applyProtection="1">
      <alignment horizontal="center" wrapText="1"/>
      <protection locked="0"/>
    </xf>
    <xf numFmtId="0" fontId="59" fillId="33" borderId="16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70" fillId="33" borderId="0" xfId="0" applyFont="1" applyFill="1" applyAlignment="1" applyProtection="1">
      <alignment horizontal="left" wrapText="1"/>
      <protection/>
    </xf>
    <xf numFmtId="0" fontId="60" fillId="34" borderId="10" xfId="0" applyFont="1" applyFill="1" applyBorder="1" applyAlignment="1" applyProtection="1">
      <alignment horizontal="center" wrapText="1"/>
      <protection/>
    </xf>
    <xf numFmtId="0" fontId="60" fillId="34" borderId="10" xfId="0" applyFont="1" applyFill="1" applyBorder="1" applyAlignment="1" applyProtection="1">
      <alignment horizontal="center" vertical="center"/>
      <protection/>
    </xf>
    <xf numFmtId="0" fontId="60" fillId="34" borderId="12" xfId="0" applyFont="1" applyFill="1" applyBorder="1" applyAlignment="1" applyProtection="1">
      <alignment horizontal="center" vertical="center"/>
      <protection/>
    </xf>
    <xf numFmtId="0" fontId="61" fillId="33" borderId="16" xfId="0" applyFont="1" applyFill="1" applyBorder="1" applyAlignment="1" applyProtection="1">
      <alignment wrapText="1"/>
      <protection/>
    </xf>
    <xf numFmtId="0" fontId="59" fillId="33" borderId="13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 horizontal="center"/>
      <protection/>
    </xf>
    <xf numFmtId="0" fontId="59" fillId="33" borderId="16" xfId="0" applyFont="1" applyFill="1" applyBorder="1" applyAlignment="1" applyProtection="1">
      <alignment horizontal="left" wrapText="1" indent="2"/>
      <protection/>
    </xf>
    <xf numFmtId="182" fontId="59" fillId="33" borderId="16" xfId="0" applyNumberFormat="1" applyFont="1" applyFill="1" applyBorder="1" applyAlignment="1" applyProtection="1">
      <alignment horizontal="center"/>
      <protection/>
    </xf>
    <xf numFmtId="2" fontId="59" fillId="33" borderId="17" xfId="0" applyNumberFormat="1" applyFont="1" applyFill="1" applyBorder="1" applyAlignment="1" applyProtection="1">
      <alignment horizontal="center"/>
      <protection/>
    </xf>
    <xf numFmtId="0" fontId="62" fillId="33" borderId="17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 applyProtection="1">
      <alignment horizontal="center" wrapText="1"/>
      <protection/>
    </xf>
    <xf numFmtId="2" fontId="59" fillId="33" borderId="0" xfId="0" applyNumberFormat="1" applyFont="1" applyFill="1" applyBorder="1" applyAlignment="1" applyProtection="1">
      <alignment horizontal="center" wrapText="1"/>
      <protection/>
    </xf>
    <xf numFmtId="0" fontId="63" fillId="33" borderId="0" xfId="0" applyFont="1" applyFill="1" applyBorder="1" applyAlignment="1" applyProtection="1">
      <alignment horizontal="center" wrapText="1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 horizontal="center"/>
      <protection locked="0"/>
    </xf>
    <xf numFmtId="0" fontId="59" fillId="33" borderId="18" xfId="0" applyFont="1" applyFill="1" applyBorder="1" applyAlignment="1" applyProtection="1">
      <alignment horizontal="left" wrapText="1" indent="2"/>
      <protection/>
    </xf>
    <xf numFmtId="2" fontId="59" fillId="33" borderId="18" xfId="0" applyNumberFormat="1" applyFont="1" applyFill="1" applyBorder="1" applyAlignment="1" applyProtection="1">
      <alignment horizontal="center"/>
      <protection/>
    </xf>
    <xf numFmtId="2" fontId="59" fillId="33" borderId="20" xfId="0" applyNumberFormat="1" applyFont="1" applyFill="1" applyBorder="1" applyAlignment="1" applyProtection="1">
      <alignment horizontal="center"/>
      <protection/>
    </xf>
    <xf numFmtId="0" fontId="62" fillId="33" borderId="19" xfId="0" applyFont="1" applyFill="1" applyBorder="1" applyAlignment="1" applyProtection="1">
      <alignment horizontal="center"/>
      <protection/>
    </xf>
    <xf numFmtId="0" fontId="29" fillId="16" borderId="0" xfId="0" applyNumberFormat="1" applyFont="1" applyFill="1" applyBorder="1" applyAlignment="1" applyProtection="1">
      <alignment horizontal="center"/>
      <protection locked="0"/>
    </xf>
    <xf numFmtId="182" fontId="59" fillId="33" borderId="17" xfId="0" applyNumberFormat="1" applyFont="1" applyFill="1" applyBorder="1" applyAlignment="1" applyProtection="1">
      <alignment horizontal="center"/>
      <protection/>
    </xf>
    <xf numFmtId="0" fontId="29" fillId="16" borderId="19" xfId="0" applyNumberFormat="1" applyFont="1" applyFill="1" applyBorder="1" applyAlignment="1" applyProtection="1">
      <alignment horizontal="center"/>
      <protection locked="0"/>
    </xf>
    <xf numFmtId="182" fontId="59" fillId="33" borderId="18" xfId="0" applyNumberFormat="1" applyFont="1" applyFill="1" applyBorder="1" applyAlignment="1" applyProtection="1">
      <alignment horizontal="center"/>
      <protection/>
    </xf>
    <xf numFmtId="182" fontId="59" fillId="33" borderId="20" xfId="0" applyNumberFormat="1" applyFont="1" applyFill="1" applyBorder="1" applyAlignment="1" applyProtection="1">
      <alignment horizontal="center"/>
      <protection/>
    </xf>
    <xf numFmtId="0" fontId="72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 horizontal="center"/>
      <protection/>
    </xf>
    <xf numFmtId="0" fontId="60" fillId="34" borderId="11" xfId="0" applyFont="1" applyFill="1" applyBorder="1" applyAlignment="1" applyProtection="1">
      <alignment/>
      <protection/>
    </xf>
    <xf numFmtId="0" fontId="60" fillId="34" borderId="11" xfId="0" applyNumberFormat="1" applyFont="1" applyFill="1" applyBorder="1" applyAlignment="1" applyProtection="1">
      <alignment horizontal="center"/>
      <protection/>
    </xf>
    <xf numFmtId="0" fontId="59" fillId="33" borderId="15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0" fontId="62" fillId="16" borderId="16" xfId="0" applyFont="1" applyFill="1" applyBorder="1" applyAlignment="1" applyProtection="1">
      <alignment/>
      <protection locked="0"/>
    </xf>
    <xf numFmtId="0" fontId="62" fillId="16" borderId="0" xfId="0" applyFont="1" applyFill="1" applyBorder="1" applyAlignment="1" applyProtection="1">
      <alignment/>
      <protection locked="0"/>
    </xf>
    <xf numFmtId="0" fontId="62" fillId="16" borderId="0" xfId="0" applyFont="1" applyFill="1" applyAlignment="1" applyProtection="1">
      <alignment horizontal="center"/>
      <protection/>
    </xf>
    <xf numFmtId="0" fontId="62" fillId="33" borderId="0" xfId="0" applyFont="1" applyFill="1" applyAlignment="1" applyProtection="1">
      <alignment horizontal="center"/>
      <protection/>
    </xf>
    <xf numFmtId="0" fontId="62" fillId="16" borderId="18" xfId="0" applyFont="1" applyFill="1" applyBorder="1" applyAlignment="1" applyProtection="1">
      <alignment/>
      <protection locked="0"/>
    </xf>
    <xf numFmtId="0" fontId="62" fillId="16" borderId="19" xfId="0" applyFont="1" applyFill="1" applyBorder="1" applyAlignment="1" applyProtection="1">
      <alignment/>
      <protection locked="0"/>
    </xf>
    <xf numFmtId="0" fontId="62" fillId="16" borderId="19" xfId="0" applyFont="1" applyFill="1" applyBorder="1" applyAlignment="1" applyProtection="1">
      <alignment horizontal="center"/>
      <protection/>
    </xf>
    <xf numFmtId="0" fontId="29" fillId="16" borderId="20" xfId="0" applyFont="1" applyFill="1" applyBorder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 horizontal="left" wrapText="1"/>
      <protection/>
    </xf>
    <xf numFmtId="0" fontId="72" fillId="33" borderId="0" xfId="0" applyFont="1" applyFill="1" applyBorder="1" applyAlignment="1" applyProtection="1">
      <alignment/>
      <protection/>
    </xf>
    <xf numFmtId="0" fontId="72" fillId="33" borderId="19" xfId="0" applyFont="1" applyFill="1" applyBorder="1" applyAlignment="1" applyProtection="1">
      <alignment horizontal="center"/>
      <protection/>
    </xf>
    <xf numFmtId="0" fontId="72" fillId="33" borderId="0" xfId="0" applyFont="1" applyFill="1" applyBorder="1" applyAlignment="1" applyProtection="1">
      <alignment horizontal="center"/>
      <protection/>
    </xf>
    <xf numFmtId="0" fontId="30" fillId="33" borderId="14" xfId="0" applyNumberFormat="1" applyFont="1" applyFill="1" applyBorder="1" applyAlignment="1" applyProtection="1">
      <alignment horizontal="left"/>
      <protection/>
    </xf>
    <xf numFmtId="0" fontId="29" fillId="16" borderId="15" xfId="0" applyNumberFormat="1" applyFont="1" applyFill="1" applyBorder="1" applyAlignment="1" applyProtection="1">
      <alignment horizontal="center"/>
      <protection/>
    </xf>
    <xf numFmtId="186" fontId="29" fillId="16" borderId="17" xfId="0" applyNumberFormat="1" applyFont="1" applyFill="1" applyBorder="1" applyAlignment="1" applyProtection="1">
      <alignment horizontal="center"/>
      <protection locked="0"/>
    </xf>
    <xf numFmtId="178" fontId="62" fillId="16" borderId="20" xfId="0" applyNumberFormat="1" applyFont="1" applyFill="1" applyBorder="1" applyAlignment="1" applyProtection="1">
      <alignment horizontal="center"/>
      <protection/>
    </xf>
    <xf numFmtId="0" fontId="64" fillId="34" borderId="10" xfId="0" applyFont="1" applyFill="1" applyBorder="1" applyAlignment="1" applyProtection="1">
      <alignment horizontal="center" wrapText="1"/>
      <protection/>
    </xf>
    <xf numFmtId="0" fontId="60" fillId="34" borderId="11" xfId="0" applyFont="1" applyFill="1" applyBorder="1" applyAlignment="1" applyProtection="1">
      <alignment horizontal="center" wrapText="1"/>
      <protection/>
    </xf>
    <xf numFmtId="180" fontId="62" fillId="16" borderId="0" xfId="0" applyNumberFormat="1" applyFont="1" applyFill="1" applyBorder="1" applyAlignment="1" applyProtection="1">
      <alignment horizontal="center"/>
      <protection/>
    </xf>
    <xf numFmtId="9" fontId="62" fillId="16" borderId="0" xfId="51" applyNumberFormat="1" applyFont="1" applyFill="1" applyBorder="1" applyAlignment="1" applyProtection="1">
      <alignment horizontal="center"/>
      <protection locked="0"/>
    </xf>
    <xf numFmtId="174" fontId="30" fillId="33" borderId="17" xfId="51" applyNumberFormat="1" applyFont="1" applyFill="1" applyBorder="1" applyAlignment="1" applyProtection="1">
      <alignment horizontal="center"/>
      <protection/>
    </xf>
    <xf numFmtId="0" fontId="62" fillId="16" borderId="0" xfId="0" applyFont="1" applyFill="1" applyBorder="1" applyAlignment="1" applyProtection="1">
      <alignment horizontal="center"/>
      <protection/>
    </xf>
    <xf numFmtId="9" fontId="29" fillId="16" borderId="0" xfId="51" applyFont="1" applyFill="1" applyBorder="1" applyAlignment="1" applyProtection="1">
      <alignment horizontal="center"/>
      <protection locked="0"/>
    </xf>
    <xf numFmtId="0" fontId="64" fillId="34" borderId="10" xfId="0" applyFont="1" applyFill="1" applyBorder="1" applyAlignment="1" applyProtection="1">
      <alignment/>
      <protection/>
    </xf>
    <xf numFmtId="0" fontId="64" fillId="34" borderId="11" xfId="0" applyFont="1" applyFill="1" applyBorder="1" applyAlignment="1" applyProtection="1">
      <alignment/>
      <protection/>
    </xf>
    <xf numFmtId="0" fontId="59" fillId="33" borderId="13" xfId="0" applyFont="1" applyFill="1" applyBorder="1" applyAlignment="1" applyProtection="1">
      <alignment/>
      <protection/>
    </xf>
    <xf numFmtId="0" fontId="29" fillId="16" borderId="14" xfId="0" applyFont="1" applyFill="1" applyBorder="1" applyAlignment="1" applyProtection="1">
      <alignment horizontal="center"/>
      <protection locked="0"/>
    </xf>
    <xf numFmtId="9" fontId="29" fillId="16" borderId="14" xfId="51" applyFont="1" applyFill="1" applyBorder="1" applyAlignment="1" applyProtection="1">
      <alignment horizontal="center"/>
      <protection locked="0"/>
    </xf>
    <xf numFmtId="174" fontId="59" fillId="33" borderId="15" xfId="0" applyNumberFormat="1" applyFont="1" applyFill="1" applyBorder="1" applyAlignment="1" applyProtection="1">
      <alignment/>
      <protection/>
    </xf>
    <xf numFmtId="0" fontId="59" fillId="33" borderId="18" xfId="0" applyFont="1" applyFill="1" applyBorder="1" applyAlignment="1" applyProtection="1">
      <alignment/>
      <protection/>
    </xf>
    <xf numFmtId="9" fontId="29" fillId="16" borderId="19" xfId="51" applyFont="1" applyFill="1" applyBorder="1" applyAlignment="1" applyProtection="1">
      <alignment horizontal="center"/>
      <protection locked="0"/>
    </xf>
    <xf numFmtId="174" fontId="59" fillId="33" borderId="20" xfId="0" applyNumberFormat="1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horizontal="center"/>
      <protection/>
    </xf>
    <xf numFmtId="9" fontId="29" fillId="16" borderId="20" xfId="51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 horizontal="center"/>
      <protection/>
    </xf>
    <xf numFmtId="174" fontId="73" fillId="16" borderId="17" xfId="47" applyFont="1" applyFill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9" xfId="0" applyFont="1" applyFill="1" applyBorder="1" applyAlignment="1" applyProtection="1">
      <alignment horizontal="center" vertical="center"/>
      <protection/>
    </xf>
    <xf numFmtId="183" fontId="30" fillId="33" borderId="0" xfId="53" applyNumberFormat="1" applyFont="1" applyFill="1" applyAlignment="1" applyProtection="1">
      <alignment horizontal="center"/>
      <protection/>
    </xf>
    <xf numFmtId="43" fontId="59" fillId="33" borderId="0" xfId="0" applyNumberFormat="1" applyFont="1" applyFill="1" applyAlignment="1" applyProtection="1">
      <alignment/>
      <protection/>
    </xf>
    <xf numFmtId="0" fontId="59" fillId="33" borderId="13" xfId="0" applyFont="1" applyFill="1" applyBorder="1" applyAlignment="1" applyProtection="1">
      <alignment horizontal="left"/>
      <protection/>
    </xf>
    <xf numFmtId="0" fontId="59" fillId="33" borderId="14" xfId="0" applyFont="1" applyFill="1" applyBorder="1" applyAlignment="1" applyProtection="1">
      <alignment horizontal="left"/>
      <protection/>
    </xf>
    <xf numFmtId="0" fontId="59" fillId="33" borderId="18" xfId="0" applyFont="1" applyFill="1" applyBorder="1" applyAlignment="1" applyProtection="1">
      <alignment horizontal="left"/>
      <protection/>
    </xf>
    <xf numFmtId="0" fontId="59" fillId="33" borderId="19" xfId="0" applyFont="1" applyFill="1" applyBorder="1" applyAlignment="1" applyProtection="1">
      <alignment horizontal="left"/>
      <protection/>
    </xf>
    <xf numFmtId="0" fontId="60" fillId="38" borderId="10" xfId="0" applyFont="1" applyFill="1" applyBorder="1" applyAlignment="1" applyProtection="1">
      <alignment horizontal="center"/>
      <protection/>
    </xf>
    <xf numFmtId="0" fontId="60" fillId="38" borderId="11" xfId="0" applyFont="1" applyFill="1" applyBorder="1" applyAlignment="1" applyProtection="1">
      <alignment horizontal="center"/>
      <protection/>
    </xf>
    <xf numFmtId="0" fontId="60" fillId="38" borderId="12" xfId="0" applyFont="1" applyFill="1" applyBorder="1" applyAlignment="1" applyProtection="1">
      <alignment horizontal="center"/>
      <protection/>
    </xf>
    <xf numFmtId="0" fontId="30" fillId="33" borderId="16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30" fillId="33" borderId="18" xfId="0" applyFont="1" applyFill="1" applyBorder="1" applyAlignment="1" applyProtection="1">
      <alignment horizontal="left"/>
      <protection/>
    </xf>
    <xf numFmtId="0" fontId="30" fillId="33" borderId="19" xfId="0" applyFont="1" applyFill="1" applyBorder="1" applyAlignment="1" applyProtection="1">
      <alignment horizontal="left"/>
      <protection/>
    </xf>
    <xf numFmtId="0" fontId="64" fillId="34" borderId="10" xfId="0" applyFont="1" applyFill="1" applyBorder="1" applyAlignment="1" applyProtection="1">
      <alignment horizontal="left"/>
      <protection/>
    </xf>
    <xf numFmtId="0" fontId="64" fillId="34" borderId="11" xfId="0" applyFont="1" applyFill="1" applyBorder="1" applyAlignment="1" applyProtection="1">
      <alignment horizontal="left"/>
      <protection/>
    </xf>
    <xf numFmtId="0" fontId="60" fillId="34" borderId="11" xfId="0" applyFont="1" applyFill="1" applyBorder="1" applyAlignment="1" applyProtection="1">
      <alignment horizontal="center"/>
      <protection/>
    </xf>
    <xf numFmtId="0" fontId="30" fillId="33" borderId="13" xfId="0" applyNumberFormat="1" applyFont="1" applyFill="1" applyBorder="1" applyAlignment="1" applyProtection="1">
      <alignment horizontal="left"/>
      <protection/>
    </xf>
    <xf numFmtId="0" fontId="30" fillId="33" borderId="14" xfId="0" applyNumberFormat="1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Alignment="1" applyProtection="1">
      <alignment horizontal="center"/>
      <protection/>
    </xf>
    <xf numFmtId="0" fontId="59" fillId="33" borderId="19" xfId="0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center"/>
      <protection locked="0"/>
    </xf>
    <xf numFmtId="0" fontId="59" fillId="33" borderId="16" xfId="0" applyNumberFormat="1" applyFont="1" applyFill="1" applyBorder="1" applyAlignment="1" applyProtection="1">
      <alignment/>
      <protection/>
    </xf>
    <xf numFmtId="0" fontId="59" fillId="33" borderId="0" xfId="0" applyNumberFormat="1" applyFont="1" applyFill="1" applyBorder="1" applyAlignment="1" applyProtection="1">
      <alignment/>
      <protection/>
    </xf>
    <xf numFmtId="0" fontId="59" fillId="33" borderId="18" xfId="0" applyNumberFormat="1" applyFont="1" applyFill="1" applyBorder="1" applyAlignment="1" applyProtection="1">
      <alignment/>
      <protection/>
    </xf>
    <xf numFmtId="0" fontId="59" fillId="33" borderId="19" xfId="0" applyNumberFormat="1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/>
      <protection locked="0"/>
    </xf>
    <xf numFmtId="0" fontId="60" fillId="33" borderId="0" xfId="0" applyFont="1" applyFill="1" applyAlignment="1" applyProtection="1">
      <alignment horizontal="center"/>
      <protection locked="0"/>
    </xf>
    <xf numFmtId="0" fontId="29" fillId="16" borderId="0" xfId="0" applyFont="1" applyFill="1" applyBorder="1" applyAlignment="1" applyProtection="1">
      <alignment horizontal="center" wrapText="1"/>
      <protection locked="0"/>
    </xf>
    <xf numFmtId="0" fontId="29" fillId="16" borderId="0" xfId="0" applyFont="1" applyFill="1" applyBorder="1" applyAlignment="1" applyProtection="1">
      <alignment horizontal="center"/>
      <protection locked="0"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0" fontId="61" fillId="33" borderId="14" xfId="0" applyFont="1" applyFill="1" applyBorder="1" applyAlignment="1" applyProtection="1">
      <alignment horizontal="center" wrapText="1"/>
      <protection/>
    </xf>
    <xf numFmtId="0" fontId="70" fillId="33" borderId="0" xfId="0" applyFont="1" applyFill="1" applyBorder="1" applyAlignment="1" applyProtection="1">
      <alignment horizontal="left" wrapText="1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horizontal="left"/>
      <protection locked="0"/>
    </xf>
    <xf numFmtId="0" fontId="60" fillId="34" borderId="14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 wrapText="1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62" fillId="33" borderId="17" xfId="0" applyFont="1" applyFill="1" applyBorder="1" applyAlignment="1" applyProtection="1">
      <alignment horizontal="left"/>
      <protection/>
    </xf>
    <xf numFmtId="0" fontId="29" fillId="33" borderId="16" xfId="0" applyFont="1" applyFill="1" applyBorder="1" applyAlignment="1" applyProtection="1">
      <alignment horizontal="left"/>
      <protection/>
    </xf>
    <xf numFmtId="0" fontId="29" fillId="33" borderId="17" xfId="0" applyFont="1" applyFill="1" applyBorder="1" applyAlignment="1" applyProtection="1">
      <alignment horizontal="left"/>
      <protection/>
    </xf>
    <xf numFmtId="0" fontId="62" fillId="33" borderId="18" xfId="0" applyFont="1" applyFill="1" applyBorder="1" applyAlignment="1" applyProtection="1">
      <alignment horizontal="left"/>
      <protection/>
    </xf>
    <xf numFmtId="0" fontId="62" fillId="33" borderId="19" xfId="0" applyFont="1" applyFill="1" applyBorder="1" applyAlignment="1" applyProtection="1">
      <alignment horizontal="left"/>
      <protection/>
    </xf>
    <xf numFmtId="0" fontId="60" fillId="34" borderId="10" xfId="0" applyFont="1" applyFill="1" applyBorder="1" applyAlignment="1" applyProtection="1">
      <alignment horizontal="center"/>
      <protection/>
    </xf>
    <xf numFmtId="0" fontId="60" fillId="34" borderId="12" xfId="0" applyFont="1" applyFill="1" applyBorder="1" applyAlignment="1" applyProtection="1">
      <alignment horizontal="center"/>
      <protection/>
    </xf>
    <xf numFmtId="0" fontId="60" fillId="34" borderId="24" xfId="0" applyFont="1" applyFill="1" applyBorder="1" applyAlignment="1" applyProtection="1">
      <alignment horizontal="center" vertical="center"/>
      <protection/>
    </xf>
    <xf numFmtId="0" fontId="60" fillId="34" borderId="26" xfId="0" applyFont="1" applyFill="1" applyBorder="1" applyAlignment="1" applyProtection="1">
      <alignment horizontal="center" vertical="center"/>
      <protection/>
    </xf>
    <xf numFmtId="179" fontId="60" fillId="34" borderId="15" xfId="0" applyNumberFormat="1" applyFont="1" applyFill="1" applyBorder="1" applyAlignment="1" applyProtection="1">
      <alignment horizontal="center" vertical="center"/>
      <protection/>
    </xf>
    <xf numFmtId="179" fontId="60" fillId="34" borderId="20" xfId="0" applyNumberFormat="1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 applyProtection="1">
      <alignment horizontal="center" vertical="center"/>
      <protection/>
    </xf>
    <xf numFmtId="0" fontId="60" fillId="34" borderId="15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center" vertical="center"/>
      <protection/>
    </xf>
    <xf numFmtId="0" fontId="60" fillId="34" borderId="2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0" fillId="34" borderId="11" xfId="0" applyFont="1" applyFill="1" applyBorder="1" applyAlignment="1" applyProtection="1">
      <alignment horizontal="left"/>
      <protection/>
    </xf>
    <xf numFmtId="0" fontId="59" fillId="33" borderId="21" xfId="0" applyFont="1" applyFill="1" applyBorder="1" applyAlignment="1" applyProtection="1">
      <alignment horizontal="left"/>
      <protection/>
    </xf>
    <xf numFmtId="0" fontId="67" fillId="33" borderId="21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21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Alignment="1" applyProtection="1">
      <alignment horizontal="left" vertical="center"/>
      <protection/>
    </xf>
    <xf numFmtId="0" fontId="66" fillId="33" borderId="19" xfId="0" applyFont="1" applyFill="1" applyBorder="1" applyAlignment="1" applyProtection="1">
      <alignment horizontal="left"/>
      <protection/>
    </xf>
    <xf numFmtId="0" fontId="59" fillId="33" borderId="0" xfId="0" applyFont="1" applyFill="1" applyAlignment="1" applyProtection="1">
      <alignment horizontal="left"/>
      <protection/>
    </xf>
    <xf numFmtId="0" fontId="59" fillId="33" borderId="0" xfId="0" applyFont="1" applyFill="1" applyAlignment="1" applyProtection="1">
      <alignment/>
      <protection/>
    </xf>
    <xf numFmtId="0" fontId="59" fillId="33" borderId="21" xfId="0" applyFont="1" applyFill="1" applyBorder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21" xfId="0" applyFont="1" applyFill="1" applyBorder="1" applyAlignment="1" applyProtection="1">
      <alignment/>
      <protection/>
    </xf>
    <xf numFmtId="0" fontId="30" fillId="33" borderId="21" xfId="0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65" fillId="34" borderId="18" xfId="0" applyFont="1" applyFill="1" applyBorder="1" applyAlignment="1" applyProtection="1">
      <alignment horizontal="right"/>
      <protection/>
    </xf>
    <xf numFmtId="0" fontId="65" fillId="34" borderId="19" xfId="0" applyFont="1" applyFill="1" applyBorder="1" applyAlignment="1" applyProtection="1">
      <alignment horizontal="right"/>
      <protection/>
    </xf>
    <xf numFmtId="0" fontId="65" fillId="36" borderId="10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179" fontId="60" fillId="34" borderId="12" xfId="0" applyNumberFormat="1" applyFont="1" applyFill="1" applyBorder="1" applyAlignment="1" applyProtection="1">
      <alignment horizontal="center"/>
      <protection/>
    </xf>
    <xf numFmtId="174" fontId="65" fillId="34" borderId="17" xfId="0" applyNumberFormat="1" applyFont="1" applyFill="1" applyBorder="1" applyAlignment="1" applyProtection="1">
      <alignment horizontal="center"/>
      <protection/>
    </xf>
    <xf numFmtId="0" fontId="60" fillId="34" borderId="17" xfId="0" applyFont="1" applyFill="1" applyBorder="1" applyAlignment="1" applyProtection="1">
      <alignment/>
      <protection/>
    </xf>
    <xf numFmtId="0" fontId="65" fillId="34" borderId="17" xfId="0" applyFont="1" applyFill="1" applyBorder="1" applyAlignment="1" applyProtection="1">
      <alignment/>
      <protection/>
    </xf>
    <xf numFmtId="174" fontId="60" fillId="34" borderId="12" xfId="0" applyNumberFormat="1" applyFont="1" applyFill="1" applyBorder="1" applyAlignment="1" applyProtection="1">
      <alignment horizontal="center"/>
      <protection/>
    </xf>
    <xf numFmtId="174" fontId="60" fillId="34" borderId="12" xfId="47" applyFont="1" applyFill="1" applyBorder="1" applyAlignment="1" applyProtection="1">
      <alignment horizontal="center"/>
      <protection/>
    </xf>
    <xf numFmtId="174" fontId="60" fillId="34" borderId="12" xfId="0" applyNumberFormat="1" applyFont="1" applyFill="1" applyBorder="1" applyAlignment="1" applyProtection="1">
      <alignment horizontal="left"/>
      <protection/>
    </xf>
    <xf numFmtId="180" fontId="29" fillId="33" borderId="25" xfId="0" applyNumberFormat="1" applyFont="1" applyFill="1" applyBorder="1" applyAlignment="1" applyProtection="1">
      <alignment horizontal="center" wrapText="1"/>
      <protection/>
    </xf>
    <xf numFmtId="180" fontId="29" fillId="33" borderId="26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Proporção dos custos no custo total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24375"/>
          <c:w val="0.46425"/>
          <c:h val="0.66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'RESUMO CUSTOS'!$J$8:$J$10</c:f>
              <c:strCache/>
            </c:strRef>
          </c:cat>
          <c:val>
            <c:numRef>
              <c:f>'RESUMO CUSTOS'!$K$8:$K$10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25"/>
          <c:y val="0.46875"/>
          <c:w val="0.194"/>
          <c:h val="0.1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Origem das receitas</a:t>
            </a:r>
          </a:p>
        </c:rich>
      </c:tx>
      <c:layout>
        <c:manualLayout>
          <c:xMode val="factor"/>
          <c:yMode val="factor"/>
          <c:x val="-0.001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895"/>
          <c:w val="0.38475"/>
          <c:h val="0.69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RENTABILIDADE!$G$22:$G$24</c:f>
              <c:strCache/>
            </c:strRef>
          </c:cat>
          <c:val>
            <c:numRef>
              <c:f>RENTABILIDADE!$H$22:$H$24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25"/>
          <c:y val="0.36975"/>
          <c:w val="0.3977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7</xdr:col>
      <xdr:colOff>342900</xdr:colOff>
      <xdr:row>16</xdr:row>
      <xdr:rowOff>47625</xdr:rowOff>
    </xdr:to>
    <xdr:graphicFrame>
      <xdr:nvGraphicFramePr>
        <xdr:cNvPr id="1" name="Gráfico 2"/>
        <xdr:cNvGraphicFramePr/>
      </xdr:nvGraphicFramePr>
      <xdr:xfrm>
        <a:off x="0" y="419100"/>
        <a:ext cx="4457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18</xdr:row>
      <xdr:rowOff>0</xdr:rowOff>
    </xdr:from>
    <xdr:to>
      <xdr:col>9</xdr:col>
      <xdr:colOff>142875</xdr:colOff>
      <xdr:row>31</xdr:row>
      <xdr:rowOff>123825</xdr:rowOff>
    </xdr:to>
    <xdr:graphicFrame>
      <xdr:nvGraphicFramePr>
        <xdr:cNvPr id="1" name="Gráfico 4"/>
        <xdr:cNvGraphicFramePr/>
      </xdr:nvGraphicFramePr>
      <xdr:xfrm>
        <a:off x="6896100" y="3895725"/>
        <a:ext cx="52578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51"/>
  <sheetViews>
    <sheetView tabSelected="1" zoomScale="85" zoomScaleNormal="85" zoomScalePageLayoutView="0" workbookViewId="0" topLeftCell="A1">
      <selection activeCell="C57" sqref="C57:D57"/>
    </sheetView>
  </sheetViews>
  <sheetFormatPr defaultColWidth="9.140625" defaultRowHeight="15"/>
  <cols>
    <col min="1" max="1" width="4.57421875" style="1" customWidth="1"/>
    <col min="2" max="2" width="36.421875" style="1" customWidth="1"/>
    <col min="3" max="3" width="14.7109375" style="2" customWidth="1"/>
    <col min="4" max="4" width="18.57421875" style="2" customWidth="1"/>
    <col min="5" max="5" width="42.00390625" style="1" customWidth="1"/>
    <col min="6" max="6" width="31.00390625" style="1" customWidth="1"/>
    <col min="7" max="7" width="22.421875" style="1" bestFit="1" customWidth="1"/>
    <col min="8" max="8" width="27.57421875" style="1" customWidth="1"/>
    <col min="9" max="9" width="19.421875" style="1" customWidth="1"/>
    <col min="10" max="16384" width="9.140625" style="1" customWidth="1"/>
  </cols>
  <sheetData>
    <row r="1" ht="17.25"/>
    <row r="2" ht="17.25"/>
    <row r="3" spans="2:7" ht="17.25">
      <c r="B3" s="287" t="s">
        <v>0</v>
      </c>
      <c r="C3" s="288"/>
      <c r="D3" s="288"/>
      <c r="E3" s="288"/>
      <c r="F3" s="288"/>
      <c r="G3" s="289"/>
    </row>
    <row r="4" spans="9:11" ht="9.75" customHeight="1">
      <c r="I4" s="182"/>
      <c r="J4" s="182"/>
      <c r="K4" s="182"/>
    </row>
    <row r="5" spans="2:11" ht="35.25" customHeight="1">
      <c r="B5" s="163" t="s">
        <v>1</v>
      </c>
      <c r="C5" s="317"/>
      <c r="D5" s="317"/>
      <c r="E5" s="164" t="s">
        <v>2</v>
      </c>
      <c r="F5" s="164" t="s">
        <v>3</v>
      </c>
      <c r="G5" s="165" t="s">
        <v>4</v>
      </c>
      <c r="I5" s="318"/>
      <c r="J5" s="318"/>
      <c r="K5" s="318"/>
    </row>
    <row r="6" spans="2:11" ht="17.25">
      <c r="B6" s="166" t="s">
        <v>5</v>
      </c>
      <c r="C6" s="167"/>
      <c r="D6" s="168"/>
      <c r="E6" s="169"/>
      <c r="F6" s="170"/>
      <c r="G6" s="171"/>
      <c r="I6" s="182"/>
      <c r="J6" s="182"/>
      <c r="K6" s="182"/>
    </row>
    <row r="7" spans="2:11" ht="17.25">
      <c r="B7" s="172" t="s">
        <v>6</v>
      </c>
      <c r="C7" s="173"/>
      <c r="D7" s="109"/>
      <c r="E7" s="174">
        <v>50</v>
      </c>
      <c r="F7" s="175">
        <v>2.35</v>
      </c>
      <c r="G7" s="363">
        <f>('CUSTOS ANUAIS'!$N$19)*E7</f>
        <v>124.14965986394557</v>
      </c>
      <c r="I7" s="182"/>
      <c r="J7" s="182"/>
      <c r="K7" s="182"/>
    </row>
    <row r="8" spans="2:11" ht="17.25">
      <c r="B8" s="172" t="s">
        <v>7</v>
      </c>
      <c r="C8" s="173"/>
      <c r="D8" s="109"/>
      <c r="E8" s="174">
        <v>35</v>
      </c>
      <c r="F8" s="175">
        <v>2.3</v>
      </c>
      <c r="G8" s="363">
        <f>('CUSTOS ANUAIS'!$N$19)*E8</f>
        <v>86.9047619047619</v>
      </c>
      <c r="I8" s="182"/>
      <c r="J8" s="182"/>
      <c r="K8" s="182"/>
    </row>
    <row r="9" spans="2:11" ht="17.25">
      <c r="B9" s="176" t="s">
        <v>8</v>
      </c>
      <c r="C9" s="177"/>
      <c r="D9" s="178"/>
      <c r="E9" s="179">
        <v>25</v>
      </c>
      <c r="F9" s="180">
        <v>3</v>
      </c>
      <c r="G9" s="364">
        <f>('CUSTOS ANUAIS'!$N$19)*E9</f>
        <v>62.074829931972786</v>
      </c>
      <c r="I9" s="182"/>
      <c r="J9" s="182"/>
      <c r="K9" s="182"/>
    </row>
    <row r="10" spans="2:11" ht="17.25">
      <c r="B10" s="181" t="s">
        <v>9</v>
      </c>
      <c r="C10" s="173"/>
      <c r="D10" s="109"/>
      <c r="E10" s="182"/>
      <c r="F10" s="183"/>
      <c r="G10" s="184"/>
      <c r="I10" s="182"/>
      <c r="J10" s="182"/>
      <c r="K10" s="182"/>
    </row>
    <row r="11" spans="2:11" ht="17.25">
      <c r="B11" s="142" t="s">
        <v>10</v>
      </c>
      <c r="C11" s="315"/>
      <c r="D11" s="315"/>
      <c r="E11" s="185">
        <v>4</v>
      </c>
      <c r="F11" s="186">
        <v>2</v>
      </c>
      <c r="G11" s="187">
        <f>('CUSTOS ANUAIS'!$N$19)*E11</f>
        <v>9.931972789115646</v>
      </c>
      <c r="I11" s="291"/>
      <c r="J11" s="291"/>
      <c r="K11" s="220"/>
    </row>
    <row r="12" spans="2:11" ht="17.25">
      <c r="B12" s="142" t="s">
        <v>11</v>
      </c>
      <c r="C12" s="291"/>
      <c r="D12" s="291"/>
      <c r="E12" s="188">
        <v>1</v>
      </c>
      <c r="F12" s="189">
        <v>0.5</v>
      </c>
      <c r="G12" s="187">
        <f>('CUSTOS ANUAIS'!$N$19)*E12</f>
        <v>2.4829931972789114</v>
      </c>
      <c r="I12" s="291"/>
      <c r="J12" s="291"/>
      <c r="K12" s="220"/>
    </row>
    <row r="13" spans="2:11" ht="17.25">
      <c r="B13" s="12" t="s">
        <v>12</v>
      </c>
      <c r="C13" s="316"/>
      <c r="D13" s="316"/>
      <c r="E13" s="190">
        <v>1</v>
      </c>
      <c r="F13" s="189">
        <v>2</v>
      </c>
      <c r="G13" s="187">
        <f>('CUSTOS ANUAIS'!$N$19)*E13</f>
        <v>2.4829931972789114</v>
      </c>
      <c r="I13" s="291"/>
      <c r="J13" s="291"/>
      <c r="K13" s="220"/>
    </row>
    <row r="14" spans="2:11" ht="17.25">
      <c r="B14" s="142" t="s">
        <v>13</v>
      </c>
      <c r="C14" s="316"/>
      <c r="D14" s="316"/>
      <c r="E14" s="190">
        <v>1</v>
      </c>
      <c r="F14" s="189">
        <v>2.5</v>
      </c>
      <c r="G14" s="187">
        <f>('CUSTOS ANUAIS'!$N$19)*E14</f>
        <v>2.4829931972789114</v>
      </c>
      <c r="H14" s="120"/>
      <c r="I14" s="291"/>
      <c r="J14" s="291"/>
      <c r="K14" s="220"/>
    </row>
    <row r="15" spans="2:11" ht="17.25">
      <c r="B15" s="142" t="s">
        <v>14</v>
      </c>
      <c r="C15" s="316"/>
      <c r="D15" s="316"/>
      <c r="E15" s="190">
        <v>1</v>
      </c>
      <c r="F15" s="189">
        <v>3</v>
      </c>
      <c r="G15" s="187">
        <f>('CUSTOS ANUAIS'!$N$19)*E15</f>
        <v>2.4829931972789114</v>
      </c>
      <c r="H15" s="120"/>
      <c r="I15" s="291"/>
      <c r="J15" s="291"/>
      <c r="K15" s="220"/>
    </row>
    <row r="16" spans="2:11" ht="17.25">
      <c r="B16" s="142" t="s">
        <v>15</v>
      </c>
      <c r="C16" s="316"/>
      <c r="D16" s="316"/>
      <c r="E16" s="190">
        <v>1</v>
      </c>
      <c r="F16" s="189">
        <v>3.5</v>
      </c>
      <c r="G16" s="187">
        <f>('CUSTOS ANUAIS'!$N$19)*E16</f>
        <v>2.4829931972789114</v>
      </c>
      <c r="H16" s="120"/>
      <c r="I16" s="291"/>
      <c r="J16" s="291"/>
      <c r="K16" s="202"/>
    </row>
    <row r="17" spans="2:10" ht="17.25">
      <c r="B17" s="142" t="s">
        <v>16</v>
      </c>
      <c r="C17" s="291"/>
      <c r="D17" s="291"/>
      <c r="E17" s="190">
        <v>1</v>
      </c>
      <c r="F17" s="189">
        <v>4</v>
      </c>
      <c r="G17" s="187">
        <f>('CUSTOS ANUAIS'!$N$19)*E17</f>
        <v>2.4829931972789114</v>
      </c>
      <c r="H17" s="120"/>
      <c r="I17" s="59"/>
      <c r="J17" s="221"/>
    </row>
    <row r="18" spans="2:10" ht="17.25">
      <c r="B18" s="142" t="s">
        <v>17</v>
      </c>
      <c r="C18" s="315"/>
      <c r="D18" s="315"/>
      <c r="E18" s="185">
        <v>1</v>
      </c>
      <c r="F18" s="186">
        <v>4.5</v>
      </c>
      <c r="G18" s="187">
        <f>('CUSTOS ANUAIS'!$N$19)*E18</f>
        <v>2.4829931972789114</v>
      </c>
      <c r="H18" s="120"/>
      <c r="I18" s="59"/>
      <c r="J18" s="221"/>
    </row>
    <row r="19" spans="2:7" ht="17.25">
      <c r="B19" s="142" t="s">
        <v>18</v>
      </c>
      <c r="C19" s="291"/>
      <c r="D19" s="291"/>
      <c r="E19" s="190">
        <v>1</v>
      </c>
      <c r="F19" s="191">
        <v>5</v>
      </c>
      <c r="G19" s="187">
        <f>('CUSTOS ANUAIS'!$N$19)*E19</f>
        <v>2.4829931972789114</v>
      </c>
    </row>
    <row r="20" spans="2:7" ht="17.25">
      <c r="B20" s="142" t="s">
        <v>19</v>
      </c>
      <c r="C20" s="291"/>
      <c r="D20" s="291"/>
      <c r="E20" s="190">
        <v>1</v>
      </c>
      <c r="F20" s="189">
        <v>5.5</v>
      </c>
      <c r="G20" s="187">
        <f>('CUSTOS ANUAIS'!$N$19)*E20</f>
        <v>2.4829931972789114</v>
      </c>
    </row>
    <row r="21" spans="2:7" ht="17.25">
      <c r="B21" s="142" t="s">
        <v>20</v>
      </c>
      <c r="C21" s="291"/>
      <c r="D21" s="291"/>
      <c r="E21" s="190">
        <v>1</v>
      </c>
      <c r="F21" s="189">
        <v>6</v>
      </c>
      <c r="G21" s="187">
        <f>('CUSTOS ANUAIS'!$N$19)*E21</f>
        <v>2.4829931972789114</v>
      </c>
    </row>
    <row r="22" spans="2:7" ht="17.25">
      <c r="B22" s="142" t="s">
        <v>21</v>
      </c>
      <c r="C22" s="291"/>
      <c r="D22" s="291"/>
      <c r="E22" s="190">
        <v>10</v>
      </c>
      <c r="F22" s="189">
        <v>6.5</v>
      </c>
      <c r="G22" s="192">
        <f>('CUSTOS ANUAIS'!$N$19)*E22</f>
        <v>24.829931972789115</v>
      </c>
    </row>
    <row r="23" spans="2:7" ht="17.25">
      <c r="B23" s="166" t="s">
        <v>22</v>
      </c>
      <c r="C23" s="167"/>
      <c r="D23" s="168"/>
      <c r="E23" s="193"/>
      <c r="F23" s="194"/>
      <c r="G23" s="187"/>
    </row>
    <row r="24" spans="2:7" ht="17.25">
      <c r="B24" s="142" t="s">
        <v>23</v>
      </c>
      <c r="C24" s="314"/>
      <c r="D24" s="314"/>
      <c r="E24" s="190">
        <v>4</v>
      </c>
      <c r="F24" s="189">
        <v>2</v>
      </c>
      <c r="G24" s="187">
        <f>('CUSTOS ANUAIS'!$N$19)*E24</f>
        <v>9.931972789115646</v>
      </c>
    </row>
    <row r="25" spans="2:7" ht="17.25">
      <c r="B25" s="142" t="s">
        <v>11</v>
      </c>
      <c r="C25" s="291"/>
      <c r="D25" s="291"/>
      <c r="E25" s="190">
        <v>1</v>
      </c>
      <c r="F25" s="189">
        <v>0.5</v>
      </c>
      <c r="G25" s="187">
        <f>('CUSTOS ANUAIS'!$N$19)*E25</f>
        <v>2.4829931972789114</v>
      </c>
    </row>
    <row r="26" spans="2:7" ht="17.25">
      <c r="B26" s="12" t="s">
        <v>24</v>
      </c>
      <c r="C26" s="291"/>
      <c r="D26" s="291"/>
      <c r="E26" s="190">
        <v>1</v>
      </c>
      <c r="F26" s="189">
        <v>2</v>
      </c>
      <c r="G26" s="187">
        <f>('CUSTOS ANUAIS'!$N$19)*E26</f>
        <v>2.4829931972789114</v>
      </c>
    </row>
    <row r="27" spans="2:7" ht="17.25">
      <c r="B27" s="142" t="s">
        <v>13</v>
      </c>
      <c r="C27" s="291"/>
      <c r="D27" s="291"/>
      <c r="E27" s="190">
        <v>1</v>
      </c>
      <c r="F27" s="189">
        <v>3</v>
      </c>
      <c r="G27" s="187">
        <f>('CUSTOS ANUAIS'!$N$19)*E27</f>
        <v>2.4829931972789114</v>
      </c>
    </row>
    <row r="28" spans="2:7" ht="17.25">
      <c r="B28" s="142" t="s">
        <v>14</v>
      </c>
      <c r="C28" s="291"/>
      <c r="D28" s="291"/>
      <c r="E28" s="190">
        <v>1</v>
      </c>
      <c r="F28" s="189">
        <v>4</v>
      </c>
      <c r="G28" s="187">
        <f>('CUSTOS ANUAIS'!$N$19)*E28</f>
        <v>2.4829931972789114</v>
      </c>
    </row>
    <row r="29" spans="2:7" ht="17.25">
      <c r="B29" s="142" t="s">
        <v>15</v>
      </c>
      <c r="C29" s="291"/>
      <c r="D29" s="291"/>
      <c r="E29" s="190">
        <v>1</v>
      </c>
      <c r="F29" s="189">
        <v>5</v>
      </c>
      <c r="G29" s="187">
        <f>('CUSTOS ANUAIS'!$N$19)*E29</f>
        <v>2.4829931972789114</v>
      </c>
    </row>
    <row r="30" spans="2:7" ht="17.25">
      <c r="B30" s="142" t="s">
        <v>16</v>
      </c>
      <c r="C30" s="291"/>
      <c r="D30" s="291"/>
      <c r="E30" s="190">
        <v>1</v>
      </c>
      <c r="F30" s="189">
        <v>6</v>
      </c>
      <c r="G30" s="187">
        <f>('CUSTOS ANUAIS'!$N$19)*E30</f>
        <v>2.4829931972789114</v>
      </c>
    </row>
    <row r="31" spans="2:7" ht="17.25">
      <c r="B31" s="142" t="s">
        <v>17</v>
      </c>
      <c r="C31" s="315"/>
      <c r="D31" s="315"/>
      <c r="E31" s="185">
        <v>1</v>
      </c>
      <c r="F31" s="186">
        <v>7</v>
      </c>
      <c r="G31" s="187">
        <f>('CUSTOS ANUAIS'!$N$19)*E31</f>
        <v>2.4829931972789114</v>
      </c>
    </row>
    <row r="32" spans="2:7" ht="17.25">
      <c r="B32" s="142" t="s">
        <v>18</v>
      </c>
      <c r="C32" s="291"/>
      <c r="D32" s="291"/>
      <c r="E32" s="190">
        <v>1</v>
      </c>
      <c r="F32" s="189">
        <v>9</v>
      </c>
      <c r="G32" s="187">
        <f>('CUSTOS ANUAIS'!$N$19)*E32</f>
        <v>2.4829931972789114</v>
      </c>
    </row>
    <row r="33" spans="2:7" ht="17.25">
      <c r="B33" s="142" t="s">
        <v>19</v>
      </c>
      <c r="C33" s="291"/>
      <c r="D33" s="291"/>
      <c r="E33" s="190">
        <v>1</v>
      </c>
      <c r="F33" s="189">
        <v>9</v>
      </c>
      <c r="G33" s="187">
        <f>('CUSTOS ANUAIS'!$N$19)*E33</f>
        <v>2.4829931972789114</v>
      </c>
    </row>
    <row r="34" spans="2:7" ht="17.25">
      <c r="B34" s="142" t="s">
        <v>20</v>
      </c>
      <c r="C34" s="291"/>
      <c r="D34" s="291"/>
      <c r="E34" s="190">
        <v>1</v>
      </c>
      <c r="F34" s="189">
        <v>9</v>
      </c>
      <c r="G34" s="187">
        <f>('CUSTOS ANUAIS'!$N$19)*E34</f>
        <v>2.4829931972789114</v>
      </c>
    </row>
    <row r="35" spans="2:7" ht="17.25">
      <c r="B35" s="195" t="s">
        <v>21</v>
      </c>
      <c r="C35" s="293"/>
      <c r="D35" s="293"/>
      <c r="E35" s="196">
        <v>10</v>
      </c>
      <c r="F35" s="197">
        <v>9</v>
      </c>
      <c r="G35" s="192">
        <f>('CUSTOS ANUAIS'!$N$19)*E35</f>
        <v>24.829931972789115</v>
      </c>
    </row>
    <row r="36" spans="2:7" ht="17.25">
      <c r="B36" s="166" t="s">
        <v>25</v>
      </c>
      <c r="C36" s="198"/>
      <c r="D36" s="168"/>
      <c r="E36" s="199"/>
      <c r="F36" s="194"/>
      <c r="G36" s="187"/>
    </row>
    <row r="37" spans="2:7" ht="17.25">
      <c r="B37" s="200" t="s">
        <v>26</v>
      </c>
      <c r="C37" s="314"/>
      <c r="D37" s="314"/>
      <c r="E37" s="190">
        <v>15</v>
      </c>
      <c r="F37" s="189">
        <v>1.3</v>
      </c>
      <c r="G37" s="187">
        <f>('CUSTOS ANUAIS'!$N$19)*E37</f>
        <v>37.244897959183675</v>
      </c>
    </row>
    <row r="38" spans="2:7" ht="17.25">
      <c r="B38" s="200" t="s">
        <v>27</v>
      </c>
      <c r="C38" s="291"/>
      <c r="D38" s="291"/>
      <c r="E38" s="190">
        <v>13</v>
      </c>
      <c r="F38" s="189">
        <v>3.5</v>
      </c>
      <c r="G38" s="187">
        <f>('CUSTOS ANUAIS'!$N$19)*E38</f>
        <v>32.27891156462585</v>
      </c>
    </row>
    <row r="39" spans="2:7" ht="17.25">
      <c r="B39" s="200" t="s">
        <v>28</v>
      </c>
      <c r="C39" s="291"/>
      <c r="D39" s="291"/>
      <c r="E39" s="190">
        <v>13</v>
      </c>
      <c r="F39" s="189">
        <v>7</v>
      </c>
      <c r="G39" s="187">
        <f>('CUSTOS ANUAIS'!$N$19)*E39</f>
        <v>32.27891156462585</v>
      </c>
    </row>
    <row r="40" spans="2:7" ht="34.5">
      <c r="B40" s="201" t="s">
        <v>29</v>
      </c>
      <c r="C40" s="293"/>
      <c r="D40" s="293"/>
      <c r="E40" s="196">
        <v>15</v>
      </c>
      <c r="F40" s="197">
        <v>13</v>
      </c>
      <c r="G40" s="192">
        <f>('CUSTOS ANUAIS'!$N$19)*E40</f>
        <v>37.244897959183675</v>
      </c>
    </row>
    <row r="41" spans="2:7" ht="17.25">
      <c r="B41" s="181" t="s">
        <v>30</v>
      </c>
      <c r="C41" s="291"/>
      <c r="D41" s="291"/>
      <c r="E41" s="202"/>
      <c r="F41" s="203"/>
      <c r="G41" s="187"/>
    </row>
    <row r="42" spans="2:7" ht="17.25">
      <c r="B42" s="204" t="s">
        <v>31</v>
      </c>
      <c r="C42" s="291"/>
      <c r="D42" s="291"/>
      <c r="E42" s="190">
        <v>0</v>
      </c>
      <c r="F42" s="189">
        <v>2.1</v>
      </c>
      <c r="G42" s="187">
        <f>('CUSTOS ANUAIS'!$N$19)*E42</f>
        <v>0</v>
      </c>
    </row>
    <row r="43" spans="2:7" ht="17.25">
      <c r="B43" s="204" t="s">
        <v>32</v>
      </c>
      <c r="C43" s="291"/>
      <c r="D43" s="291"/>
      <c r="E43" s="190">
        <v>140</v>
      </c>
      <c r="F43" s="189">
        <v>2.4</v>
      </c>
      <c r="G43" s="187">
        <f>('CUSTOS ANUAIS'!$N$19)*E43</f>
        <v>347.6190476190476</v>
      </c>
    </row>
    <row r="44" spans="2:7" ht="17.25">
      <c r="B44" s="200" t="s">
        <v>33</v>
      </c>
      <c r="C44" s="291"/>
      <c r="D44" s="291"/>
      <c r="E44" s="190">
        <v>0</v>
      </c>
      <c r="F44" s="189">
        <v>2.8</v>
      </c>
      <c r="G44" s="187">
        <f>('CUSTOS ANUAIS'!$N$19)*E44</f>
        <v>0</v>
      </c>
    </row>
    <row r="45" spans="2:7" ht="17.25">
      <c r="B45" s="205" t="s">
        <v>34</v>
      </c>
      <c r="C45" s="293"/>
      <c r="D45" s="293"/>
      <c r="E45" s="196">
        <v>0</v>
      </c>
      <c r="F45" s="197">
        <v>3</v>
      </c>
      <c r="G45" s="192">
        <f>('CUSTOS ANUAIS'!$N$19)*E45</f>
        <v>0</v>
      </c>
    </row>
    <row r="46" spans="2:7" ht="17.25">
      <c r="B46" s="313"/>
      <c r="C46" s="313"/>
      <c r="D46" s="313"/>
      <c r="E46" s="313"/>
      <c r="F46" s="313"/>
      <c r="G46" s="313"/>
    </row>
    <row r="47" spans="2:7" ht="17.25">
      <c r="B47" s="206"/>
      <c r="C47" s="206"/>
      <c r="D47" s="206"/>
      <c r="E47" s="206"/>
      <c r="F47" s="206"/>
      <c r="G47" s="206"/>
    </row>
    <row r="48" spans="2:6" ht="17.25">
      <c r="B48" s="287" t="s">
        <v>35</v>
      </c>
      <c r="C48" s="288"/>
      <c r="D48" s="288"/>
      <c r="E48" s="288"/>
      <c r="F48" s="289"/>
    </row>
    <row r="49" ht="9.75" customHeight="1"/>
    <row r="50" spans="2:6" ht="33.75" customHeight="1">
      <c r="B50" s="207"/>
      <c r="C50" s="311" t="s">
        <v>36</v>
      </c>
      <c r="D50" s="311"/>
      <c r="E50" s="208" t="s">
        <v>37</v>
      </c>
      <c r="F50" s="209" t="s">
        <v>38</v>
      </c>
    </row>
    <row r="51" spans="2:6" ht="17.25">
      <c r="B51" s="210" t="s">
        <v>39</v>
      </c>
      <c r="C51" s="312"/>
      <c r="D51" s="312"/>
      <c r="E51" s="211"/>
      <c r="F51" s="212" t="s">
        <v>40</v>
      </c>
    </row>
    <row r="52" spans="2:6" ht="17.25">
      <c r="B52" s="213" t="s">
        <v>25</v>
      </c>
      <c r="C52" s="309">
        <v>1</v>
      </c>
      <c r="D52" s="309"/>
      <c r="E52" s="214">
        <f>'CUSTOS ANUAIS'!$N$19</f>
        <v>2.4829931972789114</v>
      </c>
      <c r="F52" s="215">
        <f>C52*E52</f>
        <v>2.4829931972789114</v>
      </c>
    </row>
    <row r="53" spans="2:6" ht="17.25">
      <c r="B53" s="213" t="s">
        <v>41</v>
      </c>
      <c r="C53" s="309">
        <v>0.5</v>
      </c>
      <c r="D53" s="309"/>
      <c r="E53" s="214">
        <f>'CUSTOS ANUAIS'!$N$19</f>
        <v>2.4829931972789114</v>
      </c>
      <c r="F53" s="215">
        <f>C53*E53</f>
        <v>1.2414965986394557</v>
      </c>
    </row>
    <row r="54" spans="2:6" ht="17.25">
      <c r="B54" s="213" t="s">
        <v>30</v>
      </c>
      <c r="C54" s="309">
        <v>1</v>
      </c>
      <c r="D54" s="309"/>
      <c r="E54" s="214">
        <f>'CUSTOS ANUAIS'!$N$19</f>
        <v>2.4829931972789114</v>
      </c>
      <c r="F54" s="215">
        <f>C54*E54</f>
        <v>2.4829931972789114</v>
      </c>
    </row>
    <row r="55" spans="2:6" ht="17.25">
      <c r="B55" s="210" t="s">
        <v>42</v>
      </c>
      <c r="C55" s="183"/>
      <c r="D55" s="183"/>
      <c r="E55" s="214"/>
      <c r="F55" s="216" t="s">
        <v>40</v>
      </c>
    </row>
    <row r="56" spans="2:6" ht="17.25">
      <c r="B56" s="213" t="s">
        <v>25</v>
      </c>
      <c r="C56" s="309">
        <v>2</v>
      </c>
      <c r="D56" s="309"/>
      <c r="E56" s="214">
        <f>'CUSTOS ANUAIS'!$N$19</f>
        <v>2.4829931972789114</v>
      </c>
      <c r="F56" s="215">
        <f>C56*E56</f>
        <v>4.965986394557823</v>
      </c>
    </row>
    <row r="57" spans="2:6" ht="17.25">
      <c r="B57" s="213" t="s">
        <v>41</v>
      </c>
      <c r="C57" s="309">
        <v>1</v>
      </c>
      <c r="D57" s="309"/>
      <c r="E57" s="214">
        <f>'CUSTOS ANUAIS'!$N$19</f>
        <v>2.4829931972789114</v>
      </c>
      <c r="F57" s="215">
        <f>C57*E57</f>
        <v>2.4829931972789114</v>
      </c>
    </row>
    <row r="58" spans="2:6" ht="17.25">
      <c r="B58" s="213" t="s">
        <v>30</v>
      </c>
      <c r="C58" s="309">
        <v>2</v>
      </c>
      <c r="D58" s="309"/>
      <c r="E58" s="214">
        <f>'CUSTOS ANUAIS'!$N$19</f>
        <v>2.4829931972789114</v>
      </c>
      <c r="F58" s="215">
        <f>C58*E58</f>
        <v>4.965986394557823</v>
      </c>
    </row>
    <row r="59" spans="2:6" ht="17.25">
      <c r="B59" s="210" t="s">
        <v>43</v>
      </c>
      <c r="C59" s="217"/>
      <c r="D59" s="218"/>
      <c r="E59" s="214"/>
      <c r="F59" s="216" t="s">
        <v>40</v>
      </c>
    </row>
    <row r="60" spans="2:6" ht="17.25">
      <c r="B60" s="213" t="s">
        <v>25</v>
      </c>
      <c r="C60" s="309">
        <v>2</v>
      </c>
      <c r="D60" s="309"/>
      <c r="E60" s="214">
        <f>'CUSTOS ANUAIS'!$N$19</f>
        <v>2.4829931972789114</v>
      </c>
      <c r="F60" s="215">
        <f>C60*E60</f>
        <v>4.965986394557823</v>
      </c>
    </row>
    <row r="61" spans="2:6" ht="17.25">
      <c r="B61" s="213" t="s">
        <v>41</v>
      </c>
      <c r="C61" s="309">
        <v>1</v>
      </c>
      <c r="D61" s="309"/>
      <c r="E61" s="214">
        <f>'CUSTOS ANUAIS'!$N$19</f>
        <v>2.4829931972789114</v>
      </c>
      <c r="F61" s="215">
        <f>C61*E61</f>
        <v>2.4829931972789114</v>
      </c>
    </row>
    <row r="62" spans="2:6" ht="17.25">
      <c r="B62" s="213" t="s">
        <v>30</v>
      </c>
      <c r="C62" s="309">
        <v>2</v>
      </c>
      <c r="D62" s="309"/>
      <c r="E62" s="214">
        <f>'CUSTOS ANUAIS'!$N$19</f>
        <v>2.4829931972789114</v>
      </c>
      <c r="F62" s="215">
        <f>C62*E62</f>
        <v>4.965986394557823</v>
      </c>
    </row>
    <row r="63" spans="2:6" ht="17.25">
      <c r="B63" s="210" t="s">
        <v>44</v>
      </c>
      <c r="C63" s="219"/>
      <c r="D63" s="219"/>
      <c r="E63" s="214"/>
      <c r="F63" s="216" t="s">
        <v>40</v>
      </c>
    </row>
    <row r="64" spans="2:6" ht="17.25">
      <c r="B64" s="213" t="s">
        <v>25</v>
      </c>
      <c r="C64" s="309">
        <v>0</v>
      </c>
      <c r="D64" s="309"/>
      <c r="E64" s="214">
        <f>'CUSTOS ANUAIS'!$N$19</f>
        <v>2.4829931972789114</v>
      </c>
      <c r="F64" s="215">
        <f>C64*E64</f>
        <v>0</v>
      </c>
    </row>
    <row r="65" spans="2:6" ht="17.25">
      <c r="B65" s="213" t="s">
        <v>41</v>
      </c>
      <c r="C65" s="309">
        <v>1</v>
      </c>
      <c r="D65" s="309"/>
      <c r="E65" s="214">
        <f>'CUSTOS ANUAIS'!$N$19</f>
        <v>2.4829931972789114</v>
      </c>
      <c r="F65" s="215">
        <f>C65*E65</f>
        <v>2.4829931972789114</v>
      </c>
    </row>
    <row r="66" spans="2:6" ht="17.25">
      <c r="B66" s="213" t="s">
        <v>30</v>
      </c>
      <c r="C66" s="310">
        <v>1</v>
      </c>
      <c r="D66" s="310"/>
      <c r="E66" s="214">
        <f>'CUSTOS ANUAIS'!$N$19</f>
        <v>2.4829931972789114</v>
      </c>
      <c r="F66" s="215">
        <f>C66*E66</f>
        <v>2.4829931972789114</v>
      </c>
    </row>
    <row r="67" spans="2:6" ht="34.5">
      <c r="B67" s="210" t="s">
        <v>45</v>
      </c>
      <c r="C67" s="222"/>
      <c r="D67" s="222"/>
      <c r="E67" s="214"/>
      <c r="F67" s="216" t="s">
        <v>40</v>
      </c>
    </row>
    <row r="68" spans="2:6" ht="17.25">
      <c r="B68" s="213" t="s">
        <v>25</v>
      </c>
      <c r="C68" s="307">
        <v>2</v>
      </c>
      <c r="D68" s="307"/>
      <c r="E68" s="214">
        <f>'CUSTOS ANUAIS'!$N$19</f>
        <v>2.4829931972789114</v>
      </c>
      <c r="F68" s="215">
        <f>C68*E68</f>
        <v>4.965986394557823</v>
      </c>
    </row>
    <row r="69" spans="2:6" ht="17.25">
      <c r="B69" s="213" t="s">
        <v>41</v>
      </c>
      <c r="C69" s="307">
        <v>1</v>
      </c>
      <c r="D69" s="307"/>
      <c r="E69" s="214">
        <f>'CUSTOS ANUAIS'!$N$19</f>
        <v>2.4829931972789114</v>
      </c>
      <c r="F69" s="215">
        <f>C69*E69</f>
        <v>2.4829931972789114</v>
      </c>
    </row>
    <row r="70" spans="2:6" ht="17.25">
      <c r="B70" s="213" t="s">
        <v>30</v>
      </c>
      <c r="C70" s="307">
        <v>1</v>
      </c>
      <c r="D70" s="307"/>
      <c r="E70" s="214">
        <f>'CUSTOS ANUAIS'!$N$19</f>
        <v>2.4829931972789114</v>
      </c>
      <c r="F70" s="215">
        <f>C70*E70</f>
        <v>2.4829931972789114</v>
      </c>
    </row>
    <row r="71" spans="2:6" ht="17.25">
      <c r="B71" s="210" t="s">
        <v>46</v>
      </c>
      <c r="C71" s="223"/>
      <c r="D71" s="223"/>
      <c r="E71" s="214"/>
      <c r="F71" s="216" t="s">
        <v>40</v>
      </c>
    </row>
    <row r="72" spans="2:6" ht="17.25">
      <c r="B72" s="213" t="s">
        <v>25</v>
      </c>
      <c r="C72" s="307">
        <v>2</v>
      </c>
      <c r="D72" s="307"/>
      <c r="E72" s="214">
        <f>'CUSTOS ANUAIS'!$N$19</f>
        <v>2.4829931972789114</v>
      </c>
      <c r="F72" s="215">
        <f>C72*E72</f>
        <v>4.965986394557823</v>
      </c>
    </row>
    <row r="73" spans="2:6" ht="17.25">
      <c r="B73" s="213" t="s">
        <v>41</v>
      </c>
      <c r="C73" s="307">
        <v>2</v>
      </c>
      <c r="D73" s="307"/>
      <c r="E73" s="214">
        <f>'CUSTOS ANUAIS'!$N$19</f>
        <v>2.4829931972789114</v>
      </c>
      <c r="F73" s="215">
        <f>C73*E73</f>
        <v>4.965986394557823</v>
      </c>
    </row>
    <row r="74" spans="2:6" ht="17.25">
      <c r="B74" s="213" t="s">
        <v>30</v>
      </c>
      <c r="C74" s="307">
        <v>1</v>
      </c>
      <c r="D74" s="307"/>
      <c r="E74" s="214">
        <f>'CUSTOS ANUAIS'!$N$19</f>
        <v>2.4829931972789114</v>
      </c>
      <c r="F74" s="215">
        <f>C74*E74</f>
        <v>2.4829931972789114</v>
      </c>
    </row>
    <row r="75" spans="2:6" ht="17.25">
      <c r="B75" s="210" t="s">
        <v>47</v>
      </c>
      <c r="C75" s="223"/>
      <c r="D75" s="223"/>
      <c r="E75" s="214"/>
      <c r="F75" s="216" t="s">
        <v>40</v>
      </c>
    </row>
    <row r="76" spans="2:6" ht="17.25">
      <c r="B76" s="213" t="s">
        <v>25</v>
      </c>
      <c r="C76" s="307">
        <v>2</v>
      </c>
      <c r="D76" s="307"/>
      <c r="E76" s="214">
        <f>'CUSTOS ANUAIS'!$N$19</f>
        <v>2.4829931972789114</v>
      </c>
      <c r="F76" s="215">
        <f>C76*E76</f>
        <v>4.965986394557823</v>
      </c>
    </row>
    <row r="77" spans="2:6" ht="17.25">
      <c r="B77" s="213" t="s">
        <v>41</v>
      </c>
      <c r="C77" s="307">
        <v>2</v>
      </c>
      <c r="D77" s="307"/>
      <c r="E77" s="214">
        <f>'CUSTOS ANUAIS'!$N$19</f>
        <v>2.4829931972789114</v>
      </c>
      <c r="F77" s="215">
        <f>C77*E77</f>
        <v>4.965986394557823</v>
      </c>
    </row>
    <row r="78" spans="2:6" ht="17.25">
      <c r="B78" s="213" t="s">
        <v>30</v>
      </c>
      <c r="C78" s="307">
        <v>1</v>
      </c>
      <c r="D78" s="307"/>
      <c r="E78" s="214">
        <f>'CUSTOS ANUAIS'!$N$19</f>
        <v>2.4829931972789114</v>
      </c>
      <c r="F78" s="215">
        <f>C78*E78</f>
        <v>2.4829931972789114</v>
      </c>
    </row>
    <row r="79" spans="2:6" ht="17.25">
      <c r="B79" s="210" t="s">
        <v>48</v>
      </c>
      <c r="C79" s="223"/>
      <c r="D79" s="223"/>
      <c r="E79" s="214"/>
      <c r="F79" s="216" t="s">
        <v>40</v>
      </c>
    </row>
    <row r="80" spans="2:6" ht="17.25">
      <c r="B80" s="213" t="s">
        <v>25</v>
      </c>
      <c r="C80" s="307">
        <v>1</v>
      </c>
      <c r="D80" s="307"/>
      <c r="E80" s="214">
        <f>'CUSTOS ANUAIS'!$N$19</f>
        <v>2.4829931972789114</v>
      </c>
      <c r="F80" s="215">
        <f>C80*E80</f>
        <v>2.4829931972789114</v>
      </c>
    </row>
    <row r="81" spans="2:6" ht="17.25">
      <c r="B81" s="213" t="s">
        <v>41</v>
      </c>
      <c r="C81" s="307">
        <v>2</v>
      </c>
      <c r="D81" s="307"/>
      <c r="E81" s="214">
        <f>'CUSTOS ANUAIS'!$N$19</f>
        <v>2.4829931972789114</v>
      </c>
      <c r="F81" s="215">
        <f>C81*E81</f>
        <v>4.965986394557823</v>
      </c>
    </row>
    <row r="82" spans="2:6" ht="17.25">
      <c r="B82" s="213" t="s">
        <v>30</v>
      </c>
      <c r="C82" s="307">
        <v>2</v>
      </c>
      <c r="D82" s="307"/>
      <c r="E82" s="214">
        <f>'CUSTOS ANUAIS'!$N$19</f>
        <v>2.4829931972789114</v>
      </c>
      <c r="F82" s="215">
        <f>C82*E82</f>
        <v>4.965986394557823</v>
      </c>
    </row>
    <row r="83" spans="2:6" ht="17.25">
      <c r="B83" s="210" t="s">
        <v>49</v>
      </c>
      <c r="C83" s="308"/>
      <c r="D83" s="308"/>
      <c r="E83" s="214"/>
      <c r="F83" s="216" t="s">
        <v>40</v>
      </c>
    </row>
    <row r="84" spans="2:6" ht="17.25">
      <c r="B84" s="213" t="s">
        <v>25</v>
      </c>
      <c r="C84" s="307">
        <v>0</v>
      </c>
      <c r="D84" s="307"/>
      <c r="E84" s="214">
        <f>'CUSTOS ANUAIS'!$N$19</f>
        <v>2.4829931972789114</v>
      </c>
      <c r="F84" s="215">
        <f>C84*E84</f>
        <v>0</v>
      </c>
    </row>
    <row r="85" spans="2:6" ht="17.25">
      <c r="B85" s="213" t="s">
        <v>41</v>
      </c>
      <c r="C85" s="307">
        <v>1</v>
      </c>
      <c r="D85" s="307"/>
      <c r="E85" s="214">
        <f>'CUSTOS ANUAIS'!$N$19</f>
        <v>2.4829931972789114</v>
      </c>
      <c r="F85" s="215">
        <f>C85*E85</f>
        <v>2.4829931972789114</v>
      </c>
    </row>
    <row r="86" spans="2:6" ht="17.25">
      <c r="B86" s="224" t="s">
        <v>30</v>
      </c>
      <c r="C86" s="302">
        <v>0</v>
      </c>
      <c r="D86" s="302"/>
      <c r="E86" s="225">
        <f>'CUSTOS ANUAIS'!$N$19</f>
        <v>2.4829931972789114</v>
      </c>
      <c r="F86" s="226">
        <f>C86*E86</f>
        <v>0</v>
      </c>
    </row>
    <row r="87" ht="17.25">
      <c r="B87" s="120"/>
    </row>
    <row r="88" ht="17.25">
      <c r="B88" s="120"/>
    </row>
    <row r="89" spans="2:7" ht="17.25">
      <c r="B89" s="287" t="s">
        <v>50</v>
      </c>
      <c r="C89" s="288"/>
      <c r="D89" s="288"/>
      <c r="E89" s="288"/>
      <c r="F89" s="288"/>
      <c r="G89" s="289"/>
    </row>
    <row r="90" spans="2:5" ht="9.75" customHeight="1">
      <c r="B90" s="227"/>
      <c r="C90" s="227"/>
      <c r="D90" s="227"/>
      <c r="E90" s="227"/>
    </row>
    <row r="91" spans="2:7" ht="17.25">
      <c r="B91" s="33"/>
      <c r="C91" s="34"/>
      <c r="D91" s="34"/>
      <c r="E91" s="4" t="s">
        <v>51</v>
      </c>
      <c r="F91" s="208" t="s">
        <v>37</v>
      </c>
      <c r="G91" s="5" t="s">
        <v>52</v>
      </c>
    </row>
    <row r="92" spans="2:7" ht="17.25">
      <c r="B92" s="303" t="s">
        <v>53</v>
      </c>
      <c r="C92" s="304"/>
      <c r="D92" s="304"/>
      <c r="E92" s="228">
        <v>2</v>
      </c>
      <c r="F92" s="214">
        <f>'CUSTOS ANUAIS'!$N$19</f>
        <v>2.4829931972789114</v>
      </c>
      <c r="G92" s="229">
        <f>E92*F92</f>
        <v>4.965986394557823</v>
      </c>
    </row>
    <row r="93" spans="2:7" ht="17.25">
      <c r="B93" s="305" t="s">
        <v>54</v>
      </c>
      <c r="C93" s="306"/>
      <c r="D93" s="306"/>
      <c r="E93" s="230">
        <v>2</v>
      </c>
      <c r="F93" s="231">
        <f>'CUSTOS ANUAIS'!$N$19</f>
        <v>2.4829931972789114</v>
      </c>
      <c r="G93" s="232">
        <f>E93*F93</f>
        <v>4.965986394557823</v>
      </c>
    </row>
    <row r="94" ht="17.25">
      <c r="B94" s="120"/>
    </row>
    <row r="95" ht="17.25">
      <c r="B95" s="120"/>
    </row>
    <row r="96" spans="2:7" ht="17.25">
      <c r="B96" s="287" t="s">
        <v>55</v>
      </c>
      <c r="C96" s="288"/>
      <c r="D96" s="288"/>
      <c r="E96" s="288"/>
      <c r="F96" s="289"/>
      <c r="G96" s="233"/>
    </row>
    <row r="97" spans="2:3" ht="9.75" customHeight="1">
      <c r="B97" s="234"/>
      <c r="C97" s="235"/>
    </row>
    <row r="98" spans="2:8" ht="17.25">
      <c r="B98" s="6" t="s">
        <v>56</v>
      </c>
      <c r="C98" s="236"/>
      <c r="D98" s="237" t="s">
        <v>57</v>
      </c>
      <c r="E98" s="4" t="s">
        <v>58</v>
      </c>
      <c r="F98" s="5" t="s">
        <v>59</v>
      </c>
      <c r="G98" s="12"/>
      <c r="H98" s="59"/>
    </row>
    <row r="99" spans="2:8" ht="17.25">
      <c r="B99" s="10" t="s">
        <v>60</v>
      </c>
      <c r="C99" s="234"/>
      <c r="E99" s="2"/>
      <c r="F99" s="238"/>
      <c r="G99" s="220"/>
      <c r="H99" s="239"/>
    </row>
    <row r="100" spans="2:6" ht="17.25">
      <c r="B100" s="240" t="s">
        <v>61</v>
      </c>
      <c r="C100" s="241"/>
      <c r="D100" s="242">
        <v>40</v>
      </c>
      <c r="E100" s="190">
        <v>8</v>
      </c>
      <c r="F100" s="79">
        <v>365</v>
      </c>
    </row>
    <row r="101" spans="2:6" ht="17.25">
      <c r="B101" s="240" t="s">
        <v>62</v>
      </c>
      <c r="C101" s="241"/>
      <c r="D101" s="242"/>
      <c r="E101" s="190">
        <v>0</v>
      </c>
      <c r="F101" s="79">
        <v>0</v>
      </c>
    </row>
    <row r="102" spans="2:6" ht="17.25">
      <c r="B102" s="240" t="s">
        <v>62</v>
      </c>
      <c r="C102" s="241"/>
      <c r="D102" s="242"/>
      <c r="E102" s="190">
        <v>0</v>
      </c>
      <c r="F102" s="79">
        <v>0</v>
      </c>
    </row>
    <row r="103" spans="2:6" ht="17.25">
      <c r="B103" s="240" t="s">
        <v>62</v>
      </c>
      <c r="C103" s="241"/>
      <c r="D103" s="242"/>
      <c r="E103" s="190">
        <v>0</v>
      </c>
      <c r="F103" s="79">
        <v>0</v>
      </c>
    </row>
    <row r="104" spans="2:6" ht="17.25">
      <c r="B104" s="240" t="s">
        <v>62</v>
      </c>
      <c r="C104" s="241"/>
      <c r="D104" s="242"/>
      <c r="E104" s="190">
        <v>0</v>
      </c>
      <c r="F104" s="79">
        <v>0</v>
      </c>
    </row>
    <row r="105" spans="2:8" ht="17.25">
      <c r="B105" s="10" t="s">
        <v>63</v>
      </c>
      <c r="C105" s="234"/>
      <c r="D105" s="243"/>
      <c r="E105" s="2"/>
      <c r="F105" s="130"/>
      <c r="G105" s="220"/>
      <c r="H105" s="239"/>
    </row>
    <row r="106" spans="2:6" ht="17.25">
      <c r="B106" s="240" t="s">
        <v>64</v>
      </c>
      <c r="C106" s="241"/>
      <c r="D106" s="242">
        <v>1</v>
      </c>
      <c r="E106" s="190">
        <v>8</v>
      </c>
      <c r="F106" s="79">
        <v>0</v>
      </c>
    </row>
    <row r="107" spans="2:6" ht="17.25">
      <c r="B107" s="240" t="s">
        <v>62</v>
      </c>
      <c r="C107" s="241"/>
      <c r="D107" s="242"/>
      <c r="E107" s="190">
        <v>0</v>
      </c>
      <c r="F107" s="79">
        <v>0</v>
      </c>
    </row>
    <row r="108" spans="2:6" ht="17.25">
      <c r="B108" s="240" t="s">
        <v>62</v>
      </c>
      <c r="C108" s="241"/>
      <c r="D108" s="242"/>
      <c r="E108" s="190">
        <v>0</v>
      </c>
      <c r="F108" s="79">
        <v>0</v>
      </c>
    </row>
    <row r="109" spans="2:6" ht="17.25">
      <c r="B109" s="240" t="s">
        <v>62</v>
      </c>
      <c r="C109" s="241"/>
      <c r="D109" s="242"/>
      <c r="E109" s="190">
        <v>0</v>
      </c>
      <c r="F109" s="79">
        <v>0</v>
      </c>
    </row>
    <row r="110" spans="2:7" ht="17.25">
      <c r="B110" s="244" t="s">
        <v>65</v>
      </c>
      <c r="C110" s="245"/>
      <c r="D110" s="246"/>
      <c r="E110" s="196">
        <v>0</v>
      </c>
      <c r="F110" s="247">
        <v>0</v>
      </c>
      <c r="G110" s="12"/>
    </row>
    <row r="111" spans="2:6" ht="17.25">
      <c r="B111" s="248"/>
      <c r="C111" s="248"/>
      <c r="D111" s="248"/>
      <c r="E111" s="248"/>
      <c r="F111" s="248"/>
    </row>
    <row r="112" ht="17.25"/>
    <row r="113" spans="2:8" ht="17.25">
      <c r="B113" s="287" t="s">
        <v>66</v>
      </c>
      <c r="C113" s="288"/>
      <c r="D113" s="288"/>
      <c r="E113" s="289"/>
      <c r="F113" s="249"/>
      <c r="G113" s="249"/>
      <c r="H113" s="249"/>
    </row>
    <row r="114" spans="2:6" ht="9.75" customHeight="1">
      <c r="B114" s="250"/>
      <c r="C114" s="250"/>
      <c r="D114" s="250"/>
      <c r="E114" s="250"/>
      <c r="F114" s="251"/>
    </row>
    <row r="115" spans="2:5" ht="17.25">
      <c r="B115" s="3"/>
      <c r="C115" s="296" t="s">
        <v>67</v>
      </c>
      <c r="D115" s="296"/>
      <c r="E115" s="5" t="s">
        <v>68</v>
      </c>
    </row>
    <row r="116" spans="2:5" ht="17.25">
      <c r="B116" s="297" t="s">
        <v>69</v>
      </c>
      <c r="C116" s="298"/>
      <c r="D116" s="252" t="s">
        <v>70</v>
      </c>
      <c r="E116" s="253">
        <v>5</v>
      </c>
    </row>
    <row r="117" spans="2:5" ht="17.25">
      <c r="B117" s="12" t="s">
        <v>71</v>
      </c>
      <c r="C117" s="299" t="s">
        <v>72</v>
      </c>
      <c r="D117" s="299"/>
      <c r="E117" s="254">
        <f>(2.25*$C$130)+((5*50*2.25))</f>
        <v>1068.9896837856022</v>
      </c>
    </row>
    <row r="118" spans="2:5" ht="17.25">
      <c r="B118" s="12" t="s">
        <v>73</v>
      </c>
      <c r="C118" s="300" t="s">
        <v>72</v>
      </c>
      <c r="D118" s="300"/>
      <c r="E118" s="254">
        <f>4.8*$C$129</f>
        <v>1080.5113254092846</v>
      </c>
    </row>
    <row r="119" spans="2:5" ht="17.25">
      <c r="B119" s="12" t="s">
        <v>74</v>
      </c>
      <c r="C119" s="300" t="s">
        <v>72</v>
      </c>
      <c r="D119" s="300"/>
      <c r="E119" s="93">
        <f>0.4*(C129*'CUSTOS ANUAIS'!$N$25)</f>
        <v>1100.7709127607086</v>
      </c>
    </row>
    <row r="120" spans="2:5" ht="17.25">
      <c r="B120" s="20" t="s">
        <v>75</v>
      </c>
      <c r="C120" s="301" t="s">
        <v>72</v>
      </c>
      <c r="D120" s="301"/>
      <c r="E120" s="255">
        <f>10*'CUSTOS ANUAIS'!N10</f>
        <v>66.66666666666667</v>
      </c>
    </row>
    <row r="121" spans="3:4" ht="17.25">
      <c r="C121" s="1"/>
      <c r="D121" s="1"/>
    </row>
    <row r="122" spans="3:4" ht="17.25">
      <c r="C122" s="1"/>
      <c r="D122" s="1"/>
    </row>
    <row r="123" spans="2:9" ht="17.25">
      <c r="B123" s="287" t="s">
        <v>76</v>
      </c>
      <c r="C123" s="288"/>
      <c r="D123" s="288"/>
      <c r="E123" s="288"/>
      <c r="F123" s="289"/>
      <c r="G123" s="233"/>
      <c r="H123" s="233"/>
      <c r="I123" s="233"/>
    </row>
    <row r="124" ht="9.75" customHeight="1"/>
    <row r="125" spans="2:6" ht="18" customHeight="1">
      <c r="B125" s="256"/>
      <c r="C125" s="257" t="s">
        <v>77</v>
      </c>
      <c r="D125" s="4" t="s">
        <v>78</v>
      </c>
      <c r="E125" s="4" t="s">
        <v>79</v>
      </c>
      <c r="F125" s="5" t="s">
        <v>80</v>
      </c>
    </row>
    <row r="126" spans="2:6" ht="17.25">
      <c r="B126" s="240" t="s">
        <v>81</v>
      </c>
      <c r="C126" s="258">
        <f>(C130/50)</f>
        <v>4.502130522538685</v>
      </c>
      <c r="D126" s="185">
        <v>15</v>
      </c>
      <c r="E126" s="259">
        <v>0</v>
      </c>
      <c r="F126" s="260">
        <f>E126*'INSUMOS - PREÇOS'!F13</f>
        <v>0</v>
      </c>
    </row>
    <row r="127" spans="2:6" ht="17.25">
      <c r="B127" s="240" t="s">
        <v>82</v>
      </c>
      <c r="C127" s="258">
        <f>C129/2</f>
        <v>112.55326306346714</v>
      </c>
      <c r="D127" s="185">
        <v>25</v>
      </c>
      <c r="E127" s="259">
        <v>0</v>
      </c>
      <c r="F127" s="260">
        <f>E127*'INSUMOS - PREÇOS'!F14</f>
        <v>0</v>
      </c>
    </row>
    <row r="128" spans="2:6" ht="17.25">
      <c r="B128" s="240" t="s">
        <v>83</v>
      </c>
      <c r="C128" s="261">
        <f>'CUSTOS ANUAIS'!N7</f>
        <v>1000</v>
      </c>
      <c r="D128" s="185">
        <v>6</v>
      </c>
      <c r="E128" s="259">
        <v>0</v>
      </c>
      <c r="F128" s="260">
        <f>E128*'INSUMOS - PREÇOS'!F15</f>
        <v>0</v>
      </c>
    </row>
    <row r="129" spans="2:6" ht="17.25">
      <c r="B129" s="240" t="s">
        <v>84</v>
      </c>
      <c r="C129" s="258">
        <f>(('CUSTOS ANUAIS'!N19*'CUSTOS ANUAIS'!N7)/52)*((21+5+'CUSTOS ANUAIS'!N17)/7)</f>
        <v>225.10652612693428</v>
      </c>
      <c r="D129" s="185">
        <v>25</v>
      </c>
      <c r="E129" s="259">
        <v>0</v>
      </c>
      <c r="F129" s="260">
        <f>E129*'INSUMOS - PREÇOS'!F16</f>
        <v>0</v>
      </c>
    </row>
    <row r="130" spans="2:6" ht="17.25">
      <c r="B130" s="240" t="s">
        <v>85</v>
      </c>
      <c r="C130" s="258">
        <f>C129</f>
        <v>225.10652612693428</v>
      </c>
      <c r="D130" s="185">
        <v>25</v>
      </c>
      <c r="E130" s="259">
        <v>0</v>
      </c>
      <c r="F130" s="260">
        <f>E130*'INSUMOS - PREÇOS'!F17</f>
        <v>0</v>
      </c>
    </row>
    <row r="131" spans="2:6" ht="17.25">
      <c r="B131" s="240"/>
      <c r="C131" s="258">
        <v>0</v>
      </c>
      <c r="D131" s="185">
        <v>25</v>
      </c>
      <c r="E131" s="259">
        <v>0</v>
      </c>
      <c r="F131" s="260">
        <f>E131*'INSUMOS - PREÇOS'!F18</f>
        <v>0</v>
      </c>
    </row>
    <row r="132" spans="2:6" ht="17.25">
      <c r="B132" s="12" t="s">
        <v>86</v>
      </c>
      <c r="C132" s="109"/>
      <c r="D132" s="190">
        <v>20</v>
      </c>
      <c r="E132" s="262">
        <v>0</v>
      </c>
      <c r="F132" s="260">
        <f>E132*(E117*'INSUMOS - PREÇOS'!F10)</f>
        <v>0</v>
      </c>
    </row>
    <row r="133" spans="2:6" ht="17.25">
      <c r="B133" s="263"/>
      <c r="C133" s="264"/>
      <c r="D133" s="4" t="s">
        <v>87</v>
      </c>
      <c r="E133" s="4" t="s">
        <v>79</v>
      </c>
      <c r="F133" s="5" t="s">
        <v>80</v>
      </c>
    </row>
    <row r="134" spans="2:6" ht="17.25">
      <c r="B134" s="265" t="s">
        <v>30</v>
      </c>
      <c r="C134" s="168"/>
      <c r="D134" s="266">
        <v>36</v>
      </c>
      <c r="E134" s="267">
        <v>0.05</v>
      </c>
      <c r="F134" s="268">
        <f>E134*'INSUMOS - PREÇOS'!F21</f>
        <v>0</v>
      </c>
    </row>
    <row r="135" spans="2:6" ht="17.25">
      <c r="B135" s="269" t="s">
        <v>88</v>
      </c>
      <c r="C135" s="178"/>
      <c r="D135" s="196">
        <v>72</v>
      </c>
      <c r="E135" s="270">
        <v>0.5</v>
      </c>
      <c r="F135" s="271">
        <f>E135*'INSUMOS - PREÇOS'!F22</f>
        <v>650</v>
      </c>
    </row>
    <row r="136" spans="2:9" ht="17.25">
      <c r="B136" s="272"/>
      <c r="C136" s="220"/>
      <c r="D136" s="273"/>
      <c r="E136" s="273"/>
      <c r="F136" s="109"/>
      <c r="G136" s="273"/>
      <c r="H136" s="273"/>
      <c r="I136" s="59"/>
    </row>
    <row r="137" spans="2:9" ht="17.25">
      <c r="B137" s="272"/>
      <c r="C137" s="220"/>
      <c r="D137" s="273"/>
      <c r="E137" s="273"/>
      <c r="F137" s="109"/>
      <c r="G137" s="273"/>
      <c r="H137" s="273"/>
      <c r="I137" s="59"/>
    </row>
    <row r="138" spans="2:9" ht="17.25">
      <c r="B138" s="272"/>
      <c r="C138" s="287" t="s">
        <v>89</v>
      </c>
      <c r="D138" s="288"/>
      <c r="E138" s="289"/>
      <c r="F138" s="109"/>
      <c r="G138" s="273"/>
      <c r="H138" s="273"/>
      <c r="I138" s="59"/>
    </row>
    <row r="139" spans="2:9" ht="9.75" customHeight="1">
      <c r="B139" s="272"/>
      <c r="C139" s="272"/>
      <c r="D139" s="220"/>
      <c r="E139" s="273"/>
      <c r="F139" s="109"/>
      <c r="G139" s="273"/>
      <c r="H139" s="273"/>
      <c r="I139" s="59"/>
    </row>
    <row r="140" spans="2:9" ht="17.25">
      <c r="B140" s="272"/>
      <c r="C140" s="263"/>
      <c r="D140" s="264"/>
      <c r="E140" s="5" t="s">
        <v>90</v>
      </c>
      <c r="F140" s="109"/>
      <c r="G140" s="273"/>
      <c r="H140" s="273"/>
      <c r="I140" s="59"/>
    </row>
    <row r="141" spans="2:9" ht="17.25">
      <c r="B141" s="272"/>
      <c r="C141" s="290" t="s">
        <v>91</v>
      </c>
      <c r="D141" s="291"/>
      <c r="E141" s="86">
        <v>0.15</v>
      </c>
      <c r="F141" s="109"/>
      <c r="G141" s="273"/>
      <c r="H141" s="273"/>
      <c r="I141" s="59"/>
    </row>
    <row r="142" spans="2:9" ht="17.25">
      <c r="B142" s="272"/>
      <c r="C142" s="292" t="s">
        <v>86</v>
      </c>
      <c r="D142" s="293"/>
      <c r="E142" s="274">
        <v>0.1</v>
      </c>
      <c r="F142" s="109"/>
      <c r="G142" s="273"/>
      <c r="H142" s="273"/>
      <c r="I142" s="59"/>
    </row>
    <row r="143" spans="2:9" ht="17.25">
      <c r="B143" s="272"/>
      <c r="C143" s="220"/>
      <c r="D143" s="273"/>
      <c r="E143" s="273"/>
      <c r="F143" s="109"/>
      <c r="G143" s="273"/>
      <c r="H143" s="273"/>
      <c r="I143" s="59"/>
    </row>
    <row r="144" spans="2:9" ht="17.25">
      <c r="B144" s="272"/>
      <c r="C144" s="220"/>
      <c r="D144" s="273"/>
      <c r="E144" s="273"/>
      <c r="F144" s="109"/>
      <c r="G144" s="273"/>
      <c r="H144" s="273"/>
      <c r="I144" s="59"/>
    </row>
    <row r="145" ht="17.25">
      <c r="F145" s="220"/>
    </row>
    <row r="146" ht="17.25"/>
    <row r="147" spans="2:7" ht="17.25">
      <c r="B147" s="287" t="s">
        <v>92</v>
      </c>
      <c r="C147" s="288"/>
      <c r="D147" s="288"/>
      <c r="E147" s="288"/>
      <c r="F147" s="289"/>
      <c r="G147" s="249"/>
    </row>
    <row r="148" spans="2:4" s="59" customFormat="1" ht="9.75" customHeight="1">
      <c r="B148" s="227"/>
      <c r="C148" s="227"/>
      <c r="D148" s="227"/>
    </row>
    <row r="149" spans="2:10" ht="17.25">
      <c r="B149" s="294"/>
      <c r="C149" s="295"/>
      <c r="D149" s="295"/>
      <c r="E149" s="4" t="s">
        <v>77</v>
      </c>
      <c r="F149" s="5" t="s">
        <v>93</v>
      </c>
      <c r="J149" s="59"/>
    </row>
    <row r="150" spans="2:6" ht="17.25">
      <c r="B150" s="283" t="s">
        <v>94</v>
      </c>
      <c r="C150" s="284"/>
      <c r="D150" s="284"/>
      <c r="E150" s="168" t="s">
        <v>95</v>
      </c>
      <c r="F150" s="77">
        <v>0</v>
      </c>
    </row>
    <row r="151" spans="2:6" ht="17.25">
      <c r="B151" s="285" t="s">
        <v>96</v>
      </c>
      <c r="C151" s="286"/>
      <c r="D151" s="286"/>
      <c r="E151" s="178" t="s">
        <v>97</v>
      </c>
      <c r="F151" s="247">
        <v>150</v>
      </c>
    </row>
  </sheetData>
  <sheetProtection password="DA51" sheet="1" objects="1" scenarios="1" selectLockedCells="1"/>
  <mergeCells count="93">
    <mergeCell ref="B3:G3"/>
    <mergeCell ref="C5:D5"/>
    <mergeCell ref="I5:K5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6:G46"/>
    <mergeCell ref="B48:F48"/>
    <mergeCell ref="C50:D50"/>
    <mergeCell ref="C51:D51"/>
    <mergeCell ref="C52:D52"/>
    <mergeCell ref="C53:D53"/>
    <mergeCell ref="C54:D54"/>
    <mergeCell ref="C56:D56"/>
    <mergeCell ref="C57:D57"/>
    <mergeCell ref="C58:D58"/>
    <mergeCell ref="C60:D60"/>
    <mergeCell ref="C61:D61"/>
    <mergeCell ref="C62:D62"/>
    <mergeCell ref="C64:D64"/>
    <mergeCell ref="C65:D65"/>
    <mergeCell ref="C66:D66"/>
    <mergeCell ref="C68:D68"/>
    <mergeCell ref="C69:D69"/>
    <mergeCell ref="C70:D70"/>
    <mergeCell ref="C72:D72"/>
    <mergeCell ref="C73:D73"/>
    <mergeCell ref="C74:D74"/>
    <mergeCell ref="C76:D76"/>
    <mergeCell ref="C77:D77"/>
    <mergeCell ref="C78:D78"/>
    <mergeCell ref="C80:D80"/>
    <mergeCell ref="C81:D81"/>
    <mergeCell ref="C82:D82"/>
    <mergeCell ref="C83:D83"/>
    <mergeCell ref="C84:D84"/>
    <mergeCell ref="C85:D85"/>
    <mergeCell ref="C86:D86"/>
    <mergeCell ref="B89:G89"/>
    <mergeCell ref="B92:D92"/>
    <mergeCell ref="B93:D93"/>
    <mergeCell ref="B96:F96"/>
    <mergeCell ref="B113:E113"/>
    <mergeCell ref="C115:D115"/>
    <mergeCell ref="B116:C116"/>
    <mergeCell ref="C117:D117"/>
    <mergeCell ref="C118:D118"/>
    <mergeCell ref="C119:D119"/>
    <mergeCell ref="C120:D120"/>
    <mergeCell ref="B150:D150"/>
    <mergeCell ref="B151:D151"/>
    <mergeCell ref="B123:F123"/>
    <mergeCell ref="C138:E138"/>
    <mergeCell ref="C141:D141"/>
    <mergeCell ref="C142:D142"/>
    <mergeCell ref="B147:F147"/>
    <mergeCell ref="B149:D149"/>
  </mergeCells>
  <printOptions/>
  <pageMargins left="0.51" right="0.51" top="0.79" bottom="0.79" header="0.31" footer="0.31"/>
  <pageSetup horizontalDpi="600" verticalDpi="600" orientation="portrait" paperSize="9" scale="47"/>
  <rowBreaks count="1" manualBreakCount="1">
    <brk id="88" min="1" max="8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C71"/>
  <sheetViews>
    <sheetView zoomScale="120" zoomScaleNormal="120" zoomScaleSheetLayoutView="120" zoomScalePageLayoutView="0" workbookViewId="0" topLeftCell="A1">
      <selection activeCell="F58" sqref="F58"/>
    </sheetView>
  </sheetViews>
  <sheetFormatPr defaultColWidth="9.140625" defaultRowHeight="15"/>
  <cols>
    <col min="1" max="1" width="22.421875" style="1" customWidth="1"/>
    <col min="2" max="2" width="2.7109375" style="1" customWidth="1"/>
    <col min="3" max="3" width="42.140625" style="1" customWidth="1"/>
    <col min="4" max="4" width="20.7109375" style="2" customWidth="1"/>
    <col min="5" max="5" width="0.42578125" style="2" customWidth="1"/>
    <col min="6" max="6" width="20.7109375" style="2" customWidth="1"/>
    <col min="7" max="7" width="12.8515625" style="1" bestFit="1" customWidth="1"/>
    <col min="8" max="16384" width="9.140625" style="1" customWidth="1"/>
  </cols>
  <sheetData>
    <row r="2" ht="18" thickBot="1"/>
    <row r="3" spans="2:6" ht="18" thickBot="1">
      <c r="B3" s="325" t="s">
        <v>98</v>
      </c>
      <c r="C3" s="296"/>
      <c r="D3" s="296"/>
      <c r="E3" s="296"/>
      <c r="F3" s="326"/>
    </row>
    <row r="5" spans="2:6" ht="17.25">
      <c r="B5" s="331" t="s">
        <v>99</v>
      </c>
      <c r="C5" s="332"/>
      <c r="D5" s="327" t="s">
        <v>100</v>
      </c>
      <c r="E5" s="122" t="s">
        <v>101</v>
      </c>
      <c r="F5" s="329" t="s">
        <v>101</v>
      </c>
    </row>
    <row r="6" spans="2:6" ht="18" thickBot="1">
      <c r="B6" s="333"/>
      <c r="C6" s="334"/>
      <c r="D6" s="328"/>
      <c r="E6" s="123"/>
      <c r="F6" s="330"/>
    </row>
    <row r="7" spans="2:6" ht="17.25">
      <c r="B7" s="124" t="s">
        <v>86</v>
      </c>
      <c r="C7" s="125"/>
      <c r="D7" s="126"/>
      <c r="E7" s="127"/>
      <c r="F7" s="128"/>
    </row>
    <row r="8" spans="2:6" ht="17.25">
      <c r="B8" s="129"/>
      <c r="C8" s="130" t="str">
        <f>'INSUMOS - QUANTIDADES'!B117</f>
        <v>Instalação gestação</v>
      </c>
      <c r="D8" s="131" t="s">
        <v>102</v>
      </c>
      <c r="E8" s="132"/>
      <c r="F8" s="133">
        <v>697.14</v>
      </c>
    </row>
    <row r="9" spans="2:6" ht="17.25">
      <c r="B9" s="129"/>
      <c r="C9" s="130" t="str">
        <f>'INSUMOS - QUANTIDADES'!B118</f>
        <v>Instalação maternidade</v>
      </c>
      <c r="D9" s="131" t="s">
        <v>102</v>
      </c>
      <c r="E9" s="132"/>
      <c r="F9" s="133">
        <f>697.14</f>
        <v>697.14</v>
      </c>
    </row>
    <row r="10" spans="2:6" ht="17.25">
      <c r="B10" s="12"/>
      <c r="C10" s="130" t="str">
        <f>'INSUMOS - QUANTIDADES'!B119</f>
        <v>Instalação creche</v>
      </c>
      <c r="D10" s="131" t="s">
        <v>102</v>
      </c>
      <c r="E10" s="134"/>
      <c r="F10" s="133">
        <f>697.14</f>
        <v>697.14</v>
      </c>
    </row>
    <row r="11" spans="2:6" ht="17.25">
      <c r="B11" s="12"/>
      <c r="C11" s="130" t="str">
        <f>'INSUMOS - QUANTIDADES'!B120</f>
        <v>Instalação cachaços</v>
      </c>
      <c r="D11" s="131" t="s">
        <v>102</v>
      </c>
      <c r="E11" s="134"/>
      <c r="F11" s="133">
        <f>697.14</f>
        <v>697.14</v>
      </c>
    </row>
    <row r="12" spans="2:6" ht="17.25">
      <c r="B12" s="135" t="s">
        <v>103</v>
      </c>
      <c r="C12" s="136"/>
      <c r="D12" s="131"/>
      <c r="E12" s="137"/>
      <c r="F12" s="138"/>
    </row>
    <row r="13" spans="2:6" ht="17.25">
      <c r="B13" s="12"/>
      <c r="C13" s="130" t="str">
        <f>'INSUMOS - QUANTIDADES'!B126</f>
        <v>Alimentador automático gestação</v>
      </c>
      <c r="D13" s="127" t="s">
        <v>104</v>
      </c>
      <c r="E13" s="134"/>
      <c r="F13" s="139">
        <v>12000</v>
      </c>
    </row>
    <row r="14" spans="2:6" ht="17.25">
      <c r="B14" s="12"/>
      <c r="C14" s="130" t="str">
        <f>'INSUMOS - QUANTIDADES'!B127</f>
        <v>Alimentador creche</v>
      </c>
      <c r="D14" s="127" t="s">
        <v>104</v>
      </c>
      <c r="E14" s="134"/>
      <c r="F14" s="139">
        <v>215</v>
      </c>
    </row>
    <row r="15" spans="2:6" ht="17.25">
      <c r="B15" s="12"/>
      <c r="C15" s="130" t="str">
        <f>'INSUMOS - QUANTIDADES'!B128</f>
        <v>Brinco eletrônico</v>
      </c>
      <c r="D15" s="127" t="s">
        <v>104</v>
      </c>
      <c r="E15" s="134"/>
      <c r="F15" s="139">
        <v>6</v>
      </c>
    </row>
    <row r="16" spans="2:6" ht="17.25">
      <c r="B16" s="12"/>
      <c r="C16" s="130" t="str">
        <f>'INSUMOS - QUANTIDADES'!B129</f>
        <v>Gaiolas maternidade</v>
      </c>
      <c r="D16" s="127" t="s">
        <v>104</v>
      </c>
      <c r="E16" s="134"/>
      <c r="F16" s="139">
        <v>1850</v>
      </c>
    </row>
    <row r="17" spans="2:6" ht="17.25">
      <c r="B17" s="12"/>
      <c r="C17" s="130" t="str">
        <f>'INSUMOS - QUANTIDADES'!B130</f>
        <v>Gaiolas gestação</v>
      </c>
      <c r="D17" s="127" t="s">
        <v>104</v>
      </c>
      <c r="E17" s="134"/>
      <c r="F17" s="139">
        <v>112</v>
      </c>
    </row>
    <row r="18" spans="2:6" ht="17.25">
      <c r="B18" s="12"/>
      <c r="C18" s="130">
        <f>'INSUMOS - QUANTIDADES'!B131</f>
        <v>0</v>
      </c>
      <c r="D18" s="127" t="s">
        <v>104</v>
      </c>
      <c r="E18" s="134"/>
      <c r="F18" s="139"/>
    </row>
    <row r="19" spans="2:6" ht="17.25">
      <c r="B19" s="129" t="s">
        <v>105</v>
      </c>
      <c r="C19" s="140"/>
      <c r="D19" s="131"/>
      <c r="E19" s="141"/>
      <c r="F19" s="138"/>
    </row>
    <row r="20" spans="2:6" s="119" customFormat="1" ht="17.25">
      <c r="B20" s="142"/>
      <c r="C20" s="143" t="s">
        <v>106</v>
      </c>
      <c r="D20" s="127" t="s">
        <v>107</v>
      </c>
      <c r="E20" s="134"/>
      <c r="F20" s="139">
        <v>0</v>
      </c>
    </row>
    <row r="21" spans="2:6" s="119" customFormat="1" ht="17.25">
      <c r="B21" s="142"/>
      <c r="C21" s="143" t="s">
        <v>30</v>
      </c>
      <c r="D21" s="127" t="s">
        <v>108</v>
      </c>
      <c r="E21" s="134"/>
      <c r="F21" s="139">
        <v>0</v>
      </c>
    </row>
    <row r="22" spans="2:6" s="119" customFormat="1" ht="17.25">
      <c r="B22" s="142"/>
      <c r="C22" s="143" t="s">
        <v>109</v>
      </c>
      <c r="D22" s="127" t="s">
        <v>110</v>
      </c>
      <c r="E22" s="134"/>
      <c r="F22" s="139">
        <v>1300</v>
      </c>
    </row>
    <row r="23" spans="2:6" ht="17.25">
      <c r="B23" s="319" t="s">
        <v>111</v>
      </c>
      <c r="C23" s="320"/>
      <c r="D23" s="131"/>
      <c r="E23" s="141"/>
      <c r="F23" s="138"/>
    </row>
    <row r="24" spans="2:6" s="119" customFormat="1" ht="17.25">
      <c r="B24" s="142"/>
      <c r="C24" s="143" t="str">
        <f>'INSUMOS - QUANTIDADES'!B100</f>
        <v>   Padrão</v>
      </c>
      <c r="D24" s="127" t="s">
        <v>112</v>
      </c>
      <c r="E24" s="134"/>
      <c r="F24" s="139">
        <v>1050</v>
      </c>
    </row>
    <row r="25" spans="2:6" ht="17.25">
      <c r="B25" s="12"/>
      <c r="C25" s="130" t="str">
        <f>'INSUMOS - QUANTIDADES'!B101</f>
        <v>   -</v>
      </c>
      <c r="D25" s="131" t="s">
        <v>112</v>
      </c>
      <c r="E25" s="134"/>
      <c r="F25" s="139">
        <v>0</v>
      </c>
    </row>
    <row r="26" spans="2:6" ht="17.25">
      <c r="B26" s="12"/>
      <c r="C26" s="130" t="str">
        <f>'INSUMOS - QUANTIDADES'!B102</f>
        <v>   -</v>
      </c>
      <c r="D26" s="131" t="s">
        <v>112</v>
      </c>
      <c r="E26" s="134"/>
      <c r="F26" s="139">
        <v>0</v>
      </c>
    </row>
    <row r="27" spans="2:6" ht="17.25">
      <c r="B27" s="12"/>
      <c r="C27" s="130" t="str">
        <f>'INSUMOS - QUANTIDADES'!B103</f>
        <v>   -</v>
      </c>
      <c r="D27" s="131" t="s">
        <v>112</v>
      </c>
      <c r="E27" s="134"/>
      <c r="F27" s="139">
        <v>0</v>
      </c>
    </row>
    <row r="28" spans="2:6" ht="17.25">
      <c r="B28" s="12"/>
      <c r="C28" s="130" t="str">
        <f>'INSUMOS - QUANTIDADES'!B104</f>
        <v>   -</v>
      </c>
      <c r="D28" s="131" t="s">
        <v>112</v>
      </c>
      <c r="E28" s="134"/>
      <c r="F28" s="139">
        <v>0</v>
      </c>
    </row>
    <row r="29" spans="2:6" ht="17.25">
      <c r="B29" s="319" t="s">
        <v>113</v>
      </c>
      <c r="C29" s="320"/>
      <c r="D29" s="131"/>
      <c r="E29" s="141"/>
      <c r="F29" s="138"/>
    </row>
    <row r="30" spans="2:6" s="119" customFormat="1" ht="17.25">
      <c r="B30" s="144"/>
      <c r="C30" s="145" t="str">
        <f>'INSUMOS - QUANTIDADES'!B106</f>
        <v>   Veterinário</v>
      </c>
      <c r="D30" s="127" t="s">
        <v>114</v>
      </c>
      <c r="E30" s="134"/>
      <c r="F30" s="139">
        <v>100</v>
      </c>
    </row>
    <row r="31" spans="2:6" ht="17.25">
      <c r="B31" s="135"/>
      <c r="C31" s="146" t="str">
        <f>'INSUMOS - QUANTIDADES'!B107</f>
        <v>   -</v>
      </c>
      <c r="D31" s="131" t="s">
        <v>114</v>
      </c>
      <c r="E31" s="134"/>
      <c r="F31" s="139">
        <v>0</v>
      </c>
    </row>
    <row r="32" spans="2:6" ht="17.25">
      <c r="B32" s="135"/>
      <c r="C32" s="146" t="str">
        <f>'INSUMOS - QUANTIDADES'!B108</f>
        <v>   -</v>
      </c>
      <c r="D32" s="131" t="s">
        <v>114</v>
      </c>
      <c r="E32" s="134"/>
      <c r="F32" s="139">
        <v>0</v>
      </c>
    </row>
    <row r="33" spans="2:6" ht="17.25">
      <c r="B33" s="135"/>
      <c r="C33" s="146" t="str">
        <f>'INSUMOS - QUANTIDADES'!B109</f>
        <v>   -</v>
      </c>
      <c r="D33" s="131" t="s">
        <v>114</v>
      </c>
      <c r="E33" s="134"/>
      <c r="F33" s="139">
        <v>0</v>
      </c>
    </row>
    <row r="34" spans="2:6" ht="17.25">
      <c r="B34" s="135"/>
      <c r="C34" s="146" t="str">
        <f>'INSUMOS - QUANTIDADES'!B110</f>
        <v>   - </v>
      </c>
      <c r="D34" s="131" t="s">
        <v>114</v>
      </c>
      <c r="E34" s="134"/>
      <c r="F34" s="139">
        <v>0</v>
      </c>
    </row>
    <row r="35" spans="2:6" ht="17.25">
      <c r="B35" s="319" t="s">
        <v>115</v>
      </c>
      <c r="C35" s="320"/>
      <c r="D35" s="131"/>
      <c r="E35" s="141"/>
      <c r="F35" s="138"/>
    </row>
    <row r="36" spans="2:6" s="119" customFormat="1" ht="17.25">
      <c r="B36" s="147"/>
      <c r="C36" s="148" t="s">
        <v>94</v>
      </c>
      <c r="D36" s="127" t="s">
        <v>116</v>
      </c>
      <c r="E36" s="134"/>
      <c r="F36" s="139"/>
    </row>
    <row r="37" spans="2:6" ht="17.25">
      <c r="B37" s="149"/>
      <c r="C37" s="150" t="s">
        <v>117</v>
      </c>
      <c r="D37" s="131" t="s">
        <v>118</v>
      </c>
      <c r="E37" s="134"/>
      <c r="F37" s="139">
        <v>0.21557</v>
      </c>
    </row>
    <row r="38" spans="2:6" ht="17.25">
      <c r="B38" s="319" t="s">
        <v>119</v>
      </c>
      <c r="C38" s="320"/>
      <c r="D38" s="131"/>
      <c r="E38" s="141"/>
      <c r="F38" s="138"/>
    </row>
    <row r="39" spans="2:81" ht="17.25">
      <c r="B39" s="135"/>
      <c r="C39" s="146" t="s">
        <v>120</v>
      </c>
      <c r="D39" s="127" t="s">
        <v>121</v>
      </c>
      <c r="E39" s="151"/>
      <c r="F39" s="152">
        <v>0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</row>
    <row r="40" spans="2:6" s="119" customFormat="1" ht="17.25">
      <c r="B40" s="142"/>
      <c r="C40" s="143" t="s">
        <v>122</v>
      </c>
      <c r="D40" s="127" t="s">
        <v>121</v>
      </c>
      <c r="E40" s="134"/>
      <c r="F40" s="139">
        <v>0</v>
      </c>
    </row>
    <row r="41" spans="2:6" s="120" customFormat="1" ht="17.25">
      <c r="B41" s="153"/>
      <c r="C41" s="143" t="s">
        <v>123</v>
      </c>
      <c r="D41" s="127" t="s">
        <v>121</v>
      </c>
      <c r="E41" s="134"/>
      <c r="F41" s="139">
        <v>0</v>
      </c>
    </row>
    <row r="42" spans="2:6" s="119" customFormat="1" ht="17.25">
      <c r="B42" s="142"/>
      <c r="C42" s="143" t="s">
        <v>124</v>
      </c>
      <c r="D42" s="127" t="s">
        <v>121</v>
      </c>
      <c r="E42" s="134"/>
      <c r="F42" s="139">
        <v>0</v>
      </c>
    </row>
    <row r="43" spans="2:6" s="119" customFormat="1" ht="17.25">
      <c r="B43" s="142"/>
      <c r="C43" s="143" t="s">
        <v>125</v>
      </c>
      <c r="D43" s="127" t="s">
        <v>121</v>
      </c>
      <c r="E43" s="134"/>
      <c r="F43" s="139">
        <v>0</v>
      </c>
    </row>
    <row r="44" spans="2:6" ht="17.25">
      <c r="B44" s="12"/>
      <c r="C44" s="143" t="s">
        <v>126</v>
      </c>
      <c r="D44" s="131" t="s">
        <v>121</v>
      </c>
      <c r="E44" s="134"/>
      <c r="F44" s="139">
        <v>0</v>
      </c>
    </row>
    <row r="45" spans="2:6" ht="17.25">
      <c r="B45" s="12"/>
      <c r="C45" s="143" t="s">
        <v>127</v>
      </c>
      <c r="D45" s="131" t="s">
        <v>121</v>
      </c>
      <c r="E45" s="134"/>
      <c r="F45" s="139">
        <v>0</v>
      </c>
    </row>
    <row r="46" spans="2:6" ht="17.25">
      <c r="B46" s="319" t="s">
        <v>128</v>
      </c>
      <c r="C46" s="320"/>
      <c r="D46" s="131"/>
      <c r="E46" s="141"/>
      <c r="F46" s="138"/>
    </row>
    <row r="47" spans="2:6" s="119" customFormat="1" ht="17.25">
      <c r="B47" s="154"/>
      <c r="C47" s="145" t="str">
        <f>'INSUMOS - QUANTIDADES'!B51</f>
        <v>Vacina Peste Suína Clássica</v>
      </c>
      <c r="D47" s="127" t="s">
        <v>129</v>
      </c>
      <c r="E47" s="134"/>
      <c r="F47" s="139">
        <v>0</v>
      </c>
    </row>
    <row r="48" spans="2:7" ht="17.25">
      <c r="B48" s="155"/>
      <c r="C48" s="146" t="str">
        <f>'INSUMOS - QUANTIDADES'!B55</f>
        <v>Vacina Rinite Atrófica</v>
      </c>
      <c r="D48" s="131" t="s">
        <v>129</v>
      </c>
      <c r="E48" s="134"/>
      <c r="F48" s="276">
        <v>4.8</v>
      </c>
      <c r="G48" s="282"/>
    </row>
    <row r="49" spans="2:6" s="121" customFormat="1" ht="17.25">
      <c r="B49" s="155"/>
      <c r="C49" s="146" t="str">
        <f>'INSUMOS - QUANTIDADES'!B59</f>
        <v>Vacina Leptospirose</v>
      </c>
      <c r="D49" s="127" t="s">
        <v>129</v>
      </c>
      <c r="E49" s="134"/>
      <c r="F49" s="139">
        <v>3.6</v>
      </c>
    </row>
    <row r="50" spans="2:6" s="121" customFormat="1" ht="17.25">
      <c r="B50" s="155"/>
      <c r="C50" s="146" t="str">
        <f>'INSUMOS - QUANTIDADES'!B63</f>
        <v>Vacina Parvovirose</v>
      </c>
      <c r="D50" s="127" t="s">
        <v>129</v>
      </c>
      <c r="E50" s="134"/>
      <c r="F50" s="276">
        <v>3.6</v>
      </c>
    </row>
    <row r="51" spans="2:6" s="121" customFormat="1" ht="17.25">
      <c r="B51" s="155"/>
      <c r="C51" s="146" t="str">
        <f>'INSUMOS - QUANTIDADES'!B67</f>
        <v>Vacina Pneumonia Enzoótica</v>
      </c>
      <c r="D51" s="127" t="s">
        <v>129</v>
      </c>
      <c r="E51" s="134"/>
      <c r="F51" s="276">
        <v>0.88</v>
      </c>
    </row>
    <row r="52" spans="2:6" s="121" customFormat="1" ht="17.25">
      <c r="B52" s="155"/>
      <c r="C52" s="146" t="str">
        <f>'INSUMOS - QUANTIDADES'!B71</f>
        <v>Vacina Erisipela</v>
      </c>
      <c r="D52" s="127" t="s">
        <v>129</v>
      </c>
      <c r="E52" s="134"/>
      <c r="F52" s="276">
        <v>7.56</v>
      </c>
    </row>
    <row r="53" spans="2:6" s="121" customFormat="1" ht="17.25">
      <c r="B53" s="155"/>
      <c r="C53" s="146" t="str">
        <f>'INSUMOS - QUANTIDADES'!B75</f>
        <v>Vacina Pleuropneumonia</v>
      </c>
      <c r="D53" s="127" t="s">
        <v>129</v>
      </c>
      <c r="E53" s="134"/>
      <c r="F53" s="276">
        <v>2.12</v>
      </c>
    </row>
    <row r="54" spans="2:6" s="119" customFormat="1" ht="17.25">
      <c r="B54" s="142"/>
      <c r="C54" s="143" t="str">
        <f>'INSUMOS - QUANTIDADES'!B79</f>
        <v>Vacina Aujeszky</v>
      </c>
      <c r="D54" s="127" t="s">
        <v>129</v>
      </c>
      <c r="E54" s="134"/>
      <c r="F54" s="139">
        <v>0</v>
      </c>
    </row>
    <row r="55" spans="2:6" ht="17.25">
      <c r="B55" s="12"/>
      <c r="C55" s="143" t="str">
        <f>'INSUMOS - QUANTIDADES'!B83</f>
        <v>Vacina Colibacilose</v>
      </c>
      <c r="D55" s="127" t="s">
        <v>129</v>
      </c>
      <c r="E55" s="134"/>
      <c r="F55" s="276">
        <v>7.56</v>
      </c>
    </row>
    <row r="56" spans="2:6" ht="17.25">
      <c r="B56" s="319" t="s">
        <v>130</v>
      </c>
      <c r="C56" s="320"/>
      <c r="D56" s="131"/>
      <c r="E56" s="141"/>
      <c r="F56" s="138"/>
    </row>
    <row r="57" spans="2:6" ht="17.25">
      <c r="B57" s="135"/>
      <c r="C57" s="146" t="str">
        <f>'INSUMOS - QUANTIDADES'!B92</f>
        <v>Equipamento para inseminação artificial</v>
      </c>
      <c r="D57" s="131" t="s">
        <v>131</v>
      </c>
      <c r="E57" s="151"/>
      <c r="F57" s="139">
        <v>0.89</v>
      </c>
    </row>
    <row r="58" spans="2:6" ht="17.25">
      <c r="B58" s="12"/>
      <c r="C58" s="146" t="str">
        <f>'INSUMOS - QUANTIDADES'!B93</f>
        <v>Dose de sêmen</v>
      </c>
      <c r="D58" s="131" t="s">
        <v>129</v>
      </c>
      <c r="E58" s="134"/>
      <c r="F58" s="139">
        <v>1.49</v>
      </c>
    </row>
    <row r="59" spans="2:6" ht="17.25">
      <c r="B59" s="319" t="s">
        <v>132</v>
      </c>
      <c r="C59" s="320"/>
      <c r="D59" s="131"/>
      <c r="E59" s="141"/>
      <c r="F59" s="138"/>
    </row>
    <row r="60" spans="2:6" s="119" customFormat="1" ht="17.25">
      <c r="B60" s="142"/>
      <c r="C60" s="143" t="s">
        <v>133</v>
      </c>
      <c r="D60" s="127" t="s">
        <v>134</v>
      </c>
      <c r="E60" s="134"/>
      <c r="F60" s="139">
        <v>1430</v>
      </c>
    </row>
    <row r="61" spans="2:6" ht="17.25">
      <c r="B61" s="319" t="s">
        <v>135</v>
      </c>
      <c r="C61" s="320"/>
      <c r="D61" s="131"/>
      <c r="E61" s="141"/>
      <c r="F61" s="156"/>
    </row>
    <row r="62" spans="2:6" ht="17.25">
      <c r="B62" s="12"/>
      <c r="C62" s="130" t="s">
        <v>136</v>
      </c>
      <c r="D62" s="131" t="s">
        <v>137</v>
      </c>
      <c r="E62" s="134"/>
      <c r="F62" s="139">
        <v>0</v>
      </c>
    </row>
    <row r="63" spans="2:6" ht="17.25">
      <c r="B63" s="129"/>
      <c r="C63" s="130" t="s">
        <v>138</v>
      </c>
      <c r="D63" s="131" t="s">
        <v>137</v>
      </c>
      <c r="E63" s="134"/>
      <c r="F63" s="139">
        <v>0</v>
      </c>
    </row>
    <row r="64" spans="2:6" ht="17.25">
      <c r="B64" s="319" t="s">
        <v>139</v>
      </c>
      <c r="C64" s="320"/>
      <c r="D64" s="131"/>
      <c r="E64" s="141"/>
      <c r="F64" s="138"/>
    </row>
    <row r="65" spans="2:6" ht="17.25">
      <c r="B65" s="12"/>
      <c r="C65" s="130" t="s">
        <v>140</v>
      </c>
      <c r="D65" s="131" t="s">
        <v>137</v>
      </c>
      <c r="E65" s="134"/>
      <c r="F65" s="139">
        <v>0</v>
      </c>
    </row>
    <row r="66" spans="2:6" ht="17.25">
      <c r="B66" s="12"/>
      <c r="C66" s="130" t="s">
        <v>141</v>
      </c>
      <c r="D66" s="131" t="s">
        <v>137</v>
      </c>
      <c r="E66" s="134"/>
      <c r="F66" s="139">
        <v>0</v>
      </c>
    </row>
    <row r="67" spans="2:33" ht="17.25">
      <c r="B67" s="12"/>
      <c r="C67" s="130" t="s">
        <v>142</v>
      </c>
      <c r="D67" s="131" t="s">
        <v>137</v>
      </c>
      <c r="E67" s="134"/>
      <c r="F67" s="139">
        <v>0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</row>
    <row r="68" spans="2:6" s="119" customFormat="1" ht="17.25">
      <c r="B68" s="321" t="s">
        <v>143</v>
      </c>
      <c r="C68" s="322"/>
      <c r="D68" s="127" t="s">
        <v>144</v>
      </c>
      <c r="E68" s="157"/>
      <c r="F68" s="158">
        <v>0.0794</v>
      </c>
    </row>
    <row r="69" spans="2:6" ht="18" thickBot="1">
      <c r="B69" s="323" t="s">
        <v>145</v>
      </c>
      <c r="C69" s="324"/>
      <c r="D69" s="159" t="s">
        <v>144</v>
      </c>
      <c r="E69" s="160"/>
      <c r="F69" s="161">
        <v>0.0794</v>
      </c>
    </row>
    <row r="71" ht="17.25">
      <c r="E71" s="162"/>
    </row>
  </sheetData>
  <sheetProtection password="DA51" sheet="1" objects="1" scenarios="1" selectLockedCells="1"/>
  <mergeCells count="15">
    <mergeCell ref="B3:F3"/>
    <mergeCell ref="B23:C23"/>
    <mergeCell ref="B29:C29"/>
    <mergeCell ref="B35:C35"/>
    <mergeCell ref="B38:C38"/>
    <mergeCell ref="B46:C46"/>
    <mergeCell ref="D5:D6"/>
    <mergeCell ref="F5:F6"/>
    <mergeCell ref="B5:C6"/>
    <mergeCell ref="B56:C56"/>
    <mergeCell ref="B59:C59"/>
    <mergeCell ref="B61:C61"/>
    <mergeCell ref="B64:C64"/>
    <mergeCell ref="B68:C68"/>
    <mergeCell ref="B69:C69"/>
  </mergeCells>
  <printOptions/>
  <pageMargins left="0.51" right="0.51" top="0.79" bottom="0.79" header="0.31" footer="0.31"/>
  <pageSetup horizontalDpi="300" verticalDpi="300" orientation="portrait" paperSize="9" scale="73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N158"/>
  <sheetViews>
    <sheetView zoomScale="85" zoomScaleNormal="85" zoomScaleSheetLayoutView="85" zoomScalePageLayoutView="0" workbookViewId="0" topLeftCell="B1">
      <selection activeCell="N14" sqref="N14"/>
    </sheetView>
  </sheetViews>
  <sheetFormatPr defaultColWidth="9.140625" defaultRowHeight="18.75" customHeight="1"/>
  <cols>
    <col min="1" max="1" width="9.140625" style="1" customWidth="1"/>
    <col min="2" max="2" width="3.7109375" style="1" customWidth="1"/>
    <col min="3" max="3" width="5.00390625" style="60" customWidth="1"/>
    <col min="4" max="4" width="3.7109375" style="60" customWidth="1"/>
    <col min="5" max="5" width="5.00390625" style="60" customWidth="1"/>
    <col min="6" max="6" width="6.8515625" style="1" bestFit="1" customWidth="1"/>
    <col min="7" max="7" width="8.7109375" style="1" bestFit="1" customWidth="1"/>
    <col min="8" max="8" width="38.57421875" style="1" customWidth="1"/>
    <col min="9" max="10" width="17.7109375" style="2" customWidth="1"/>
    <col min="11" max="11" width="22.8515625" style="61" bestFit="1" customWidth="1"/>
    <col min="12" max="12" width="3.57421875" style="1" customWidth="1"/>
    <col min="13" max="13" width="61.8515625" style="1" bestFit="1" customWidth="1"/>
    <col min="14" max="14" width="16.28125" style="1" bestFit="1" customWidth="1"/>
    <col min="15" max="16384" width="9.140625" style="1" customWidth="1"/>
  </cols>
  <sheetData>
    <row r="2" ht="18.75" customHeight="1" thickBot="1"/>
    <row r="3" spans="2:11" ht="18.75" customHeight="1" thickBot="1">
      <c r="B3" s="325" t="s">
        <v>146</v>
      </c>
      <c r="C3" s="296"/>
      <c r="D3" s="296"/>
      <c r="E3" s="296"/>
      <c r="F3" s="296"/>
      <c r="G3" s="296"/>
      <c r="H3" s="296"/>
      <c r="I3" s="296"/>
      <c r="J3" s="296"/>
      <c r="K3" s="326"/>
    </row>
    <row r="5" spans="2:14" ht="18.75" customHeight="1" thickBot="1">
      <c r="B5" s="6" t="s">
        <v>147</v>
      </c>
      <c r="C5" s="337" t="s">
        <v>148</v>
      </c>
      <c r="D5" s="337"/>
      <c r="E5" s="337"/>
      <c r="F5" s="337"/>
      <c r="G5" s="337"/>
      <c r="H5" s="337"/>
      <c r="I5" s="4" t="s">
        <v>57</v>
      </c>
      <c r="J5" s="4" t="s">
        <v>77</v>
      </c>
      <c r="K5" s="356" t="s">
        <v>338</v>
      </c>
      <c r="M5" s="325" t="s">
        <v>149</v>
      </c>
      <c r="N5" s="326"/>
    </row>
    <row r="6" spans="2:14" s="58" customFormat="1" ht="18.75" customHeight="1" thickBot="1">
      <c r="B6" s="63"/>
      <c r="C6" s="64" t="s">
        <v>150</v>
      </c>
      <c r="D6" s="335" t="s">
        <v>151</v>
      </c>
      <c r="E6" s="335"/>
      <c r="F6" s="335"/>
      <c r="G6" s="335"/>
      <c r="H6" s="336"/>
      <c r="I6" s="74"/>
      <c r="J6" s="277"/>
      <c r="K6" s="357"/>
      <c r="M6" s="1"/>
      <c r="N6" s="2"/>
    </row>
    <row r="7" spans="2:14" ht="18.75" customHeight="1">
      <c r="B7" s="12"/>
      <c r="C7" s="67"/>
      <c r="D7" s="67" t="s">
        <v>152</v>
      </c>
      <c r="E7" s="315" t="s">
        <v>119</v>
      </c>
      <c r="F7" s="315"/>
      <c r="G7" s="315"/>
      <c r="H7" s="315"/>
      <c r="I7" s="75"/>
      <c r="J7" s="275"/>
      <c r="K7" s="15"/>
      <c r="M7" s="76" t="s">
        <v>153</v>
      </c>
      <c r="N7" s="77">
        <v>1000</v>
      </c>
    </row>
    <row r="8" spans="2:14" ht="18.75" customHeight="1">
      <c r="B8" s="12"/>
      <c r="C8" s="67"/>
      <c r="D8" s="67"/>
      <c r="E8" s="67" t="s">
        <v>154</v>
      </c>
      <c r="F8" s="68" t="s">
        <v>41</v>
      </c>
      <c r="G8" s="68"/>
      <c r="H8" s="68"/>
      <c r="I8" s="75"/>
      <c r="J8" s="275"/>
      <c r="K8" s="15"/>
      <c r="M8" s="78" t="s">
        <v>155</v>
      </c>
      <c r="N8" s="79">
        <v>0</v>
      </c>
    </row>
    <row r="9" spans="2:14" ht="18.75" customHeight="1">
      <c r="B9" s="12"/>
      <c r="C9" s="67"/>
      <c r="D9" s="67"/>
      <c r="F9" s="1" t="s">
        <v>156</v>
      </c>
      <c r="G9" s="68" t="s">
        <v>157</v>
      </c>
      <c r="H9" s="68"/>
      <c r="I9" s="80">
        <f>('INSUMOS - QUANTIDADES'!G7*'INSUMOS - QUANTIDADES'!F7)</f>
        <v>291.7517006802721</v>
      </c>
      <c r="J9" s="275" t="s">
        <v>158</v>
      </c>
      <c r="K9" s="15">
        <f>I9*($N$7*$N$20)*'INSUMOS - PREÇOS'!$F$39</f>
        <v>0</v>
      </c>
      <c r="M9" s="78" t="s">
        <v>159</v>
      </c>
      <c r="N9" s="79">
        <v>1000</v>
      </c>
    </row>
    <row r="10" spans="2:14" ht="18.75" customHeight="1">
      <c r="B10" s="12"/>
      <c r="C10" s="67"/>
      <c r="D10" s="67"/>
      <c r="F10" s="1" t="s">
        <v>160</v>
      </c>
      <c r="G10" s="68" t="s">
        <v>161</v>
      </c>
      <c r="H10" s="68"/>
      <c r="I10" s="80">
        <f>('INSUMOS - QUANTIDADES'!G8*'INSUMOS - QUANTIDADES'!F8)</f>
        <v>199.88095238095235</v>
      </c>
      <c r="J10" s="275" t="s">
        <v>158</v>
      </c>
      <c r="K10" s="15">
        <f>I10*($N$7*$N$20)*'INSUMOS - PREÇOS'!$F$39</f>
        <v>0</v>
      </c>
      <c r="M10" s="81" t="s">
        <v>162</v>
      </c>
      <c r="N10" s="82">
        <f>N7/150</f>
        <v>6.666666666666667</v>
      </c>
    </row>
    <row r="11" spans="2:14" ht="18.75" customHeight="1">
      <c r="B11" s="12"/>
      <c r="C11" s="67"/>
      <c r="D11" s="67"/>
      <c r="F11" s="69" t="s">
        <v>163</v>
      </c>
      <c r="G11" s="68" t="s">
        <v>164</v>
      </c>
      <c r="H11" s="68"/>
      <c r="I11" s="80">
        <f>('INSUMOS - QUANTIDADES'!G9*'INSUMOS - QUANTIDADES'!F9)</f>
        <v>186.22448979591837</v>
      </c>
      <c r="J11" s="275" t="s">
        <v>158</v>
      </c>
      <c r="K11" s="15">
        <f>I11*($N$7*$N$20)*'INSUMOS - PREÇOS'!$F$39</f>
        <v>0</v>
      </c>
      <c r="M11" s="81" t="s">
        <v>165</v>
      </c>
      <c r="N11" s="83">
        <f>($N$7*$N$20*$N$19)*$N$25</f>
        <v>26712.040816326527</v>
      </c>
    </row>
    <row r="12" spans="2:14" ht="18.75" customHeight="1">
      <c r="B12" s="12"/>
      <c r="C12" s="67"/>
      <c r="D12" s="67"/>
      <c r="F12" s="1" t="s">
        <v>166</v>
      </c>
      <c r="G12" s="70" t="s">
        <v>167</v>
      </c>
      <c r="H12" s="71"/>
      <c r="I12" s="75">
        <f>('INSUMOS - QUANTIDADES'!E11*'INSUMOS - QUANTIDADES'!F11)+('INSUMOS - QUANTIDADES'!E12*'INSUMOS - QUANTIDADES'!F12)+('INSUMOS - QUANTIDADES'!E13*'INSUMOS - QUANTIDADES'!F13)+('INSUMOS - QUANTIDADES'!E14*'INSUMOS - QUANTIDADES'!F14)+('INSUMOS - QUANTIDADES'!E15*'INSUMOS - QUANTIDADES'!F15)+('INSUMOS - QUANTIDADES'!E16*'INSUMOS - QUANTIDADES'!F16)+('INSUMOS - QUANTIDADES'!E17*'INSUMOS - QUANTIDADES'!F17)+('INSUMOS - QUANTIDADES'!E18+'INSUMOS - QUANTIDADES'!F18)+('INSUMOS - QUANTIDADES'!E19*'INSUMOS - QUANTIDADES'!F19)+('INSUMOS - QUANTIDADES'!E20*'INSUMOS - QUANTIDADES'!F20)+('INSUMOS - QUANTIDADES'!E21*'INSUMOS - QUANTIDADES'!F21)+('INSUMOS - QUANTIDADES'!E22*'INSUMOS - QUANTIDADES'!F22)</f>
        <v>110.5</v>
      </c>
      <c r="J12" s="275" t="s">
        <v>158</v>
      </c>
      <c r="K12" s="15">
        <f>I12*($N$8*$N$20)*'INSUMOS - PREÇOS'!$F$39</f>
        <v>0</v>
      </c>
      <c r="M12" s="81" t="s">
        <v>168</v>
      </c>
      <c r="N12" s="83">
        <f>N11*(1-N24)</f>
        <v>26444.920408163263</v>
      </c>
    </row>
    <row r="13" spans="2:14" ht="18.75" customHeight="1">
      <c r="B13" s="12"/>
      <c r="C13" s="67"/>
      <c r="D13" s="67"/>
      <c r="E13" s="67"/>
      <c r="F13" s="1" t="s">
        <v>169</v>
      </c>
      <c r="G13" s="70" t="s">
        <v>170</v>
      </c>
      <c r="H13" s="71"/>
      <c r="I13" s="75">
        <f>('INSUMOS - QUANTIDADES'!E24*'INSUMOS - QUANTIDADES'!F24)+('INSUMOS - QUANTIDADES'!E25*'INSUMOS - QUANTIDADES'!F25)+('INSUMOS - QUANTIDADES'!E26*'INSUMOS - QUANTIDADES'!F26)+('INSUMOS - QUANTIDADES'!E27*'INSUMOS - QUANTIDADES'!F27)+('INSUMOS - QUANTIDADES'!E28*'INSUMOS - QUANTIDADES'!F28)+('INSUMOS - QUANTIDADES'!E29*'INSUMOS - QUANTIDADES'!F29)+('INSUMOS - QUANTIDADES'!E30*'INSUMOS - QUANTIDADES'!F30)+('INSUMOS - QUANTIDADES'!E31+'INSUMOS - QUANTIDADES'!F31)+('INSUMOS - QUANTIDADES'!E32*'INSUMOS - QUANTIDADES'!F32)+('INSUMOS - QUANTIDADES'!E33*'INSUMOS - QUANTIDADES'!F33)+('INSUMOS - QUANTIDADES'!E34*'INSUMOS - QUANTIDADES'!F34)+('INSUMOS - QUANTIDADES'!E35*'INSUMOS - QUANTIDADES'!F35)</f>
        <v>153.5</v>
      </c>
      <c r="J13" s="275" t="s">
        <v>158</v>
      </c>
      <c r="K13" s="15">
        <f>I13*($N$9*$N$20)*'INSUMOS - PREÇOS'!$F$39</f>
        <v>0</v>
      </c>
      <c r="M13" s="81" t="s">
        <v>171</v>
      </c>
      <c r="N13" s="84">
        <f>N14*N7</f>
        <v>170</v>
      </c>
    </row>
    <row r="14" spans="2:14" ht="18.75" customHeight="1">
      <c r="B14" s="12"/>
      <c r="C14" s="67"/>
      <c r="D14" s="67"/>
      <c r="E14" s="67"/>
      <c r="F14" s="68"/>
      <c r="G14" s="68"/>
      <c r="H14" s="68"/>
      <c r="I14" s="85"/>
      <c r="J14" s="275"/>
      <c r="K14" s="15"/>
      <c r="M14" s="81" t="s">
        <v>172</v>
      </c>
      <c r="N14" s="86">
        <v>0.17</v>
      </c>
    </row>
    <row r="15" spans="2:14" ht="18.75" customHeight="1">
      <c r="B15" s="12"/>
      <c r="C15" s="67"/>
      <c r="D15" s="67"/>
      <c r="E15" s="67" t="s">
        <v>173</v>
      </c>
      <c r="F15" s="315" t="s">
        <v>25</v>
      </c>
      <c r="G15" s="315"/>
      <c r="H15" s="338"/>
      <c r="I15" s="75"/>
      <c r="J15" s="275"/>
      <c r="K15" s="15"/>
      <c r="M15" s="81" t="s">
        <v>174</v>
      </c>
      <c r="N15" s="86">
        <v>0.15</v>
      </c>
    </row>
    <row r="16" spans="2:14" ht="18.75" customHeight="1">
      <c r="B16" s="12"/>
      <c r="C16" s="67"/>
      <c r="D16" s="67"/>
      <c r="E16" s="67"/>
      <c r="F16" s="68" t="s">
        <v>175</v>
      </c>
      <c r="G16" s="315" t="str">
        <f>'INSUMOS - QUANTIDADES'!B37</f>
        <v>  Papinha (6 - 21 dias)</v>
      </c>
      <c r="H16" s="350"/>
      <c r="I16" s="85">
        <f>'INSUMOS - QUANTIDADES'!E37*'INSUMOS - QUANTIDADES'!F37</f>
        <v>19.5</v>
      </c>
      <c r="J16" s="275" t="s">
        <v>158</v>
      </c>
      <c r="K16" s="15">
        <f>(I16*$N$11*'INSUMOS - PREÇOS'!F41)*(1-N23)</f>
        <v>0</v>
      </c>
      <c r="M16" s="81" t="s">
        <v>176</v>
      </c>
      <c r="N16" s="84">
        <f>140+N17</f>
        <v>147</v>
      </c>
    </row>
    <row r="17" spans="2:14" ht="18.75" customHeight="1">
      <c r="B17" s="12"/>
      <c r="C17" s="67"/>
      <c r="D17" s="67"/>
      <c r="E17" s="67"/>
      <c r="F17" s="68" t="s">
        <v>177</v>
      </c>
      <c r="G17" s="315" t="str">
        <f>'INSUMOS - QUANTIDADES'!B38</f>
        <v>  Pré-Inicial 1 (22 - 35 dias)</v>
      </c>
      <c r="H17" s="350"/>
      <c r="I17" s="85">
        <f>'INSUMOS - QUANTIDADES'!E38*'INSUMOS - QUANTIDADES'!F38</f>
        <v>45.5</v>
      </c>
      <c r="J17" s="275" t="s">
        <v>158</v>
      </c>
      <c r="K17" s="15">
        <f>I17*$N$12*'INSUMOS - PREÇOS'!F42</f>
        <v>0</v>
      </c>
      <c r="M17" s="81" t="s">
        <v>178</v>
      </c>
      <c r="N17" s="79">
        <v>7</v>
      </c>
    </row>
    <row r="18" spans="2:14" ht="18.75" customHeight="1">
      <c r="B18" s="12"/>
      <c r="C18" s="67"/>
      <c r="D18" s="67"/>
      <c r="E18" s="67"/>
      <c r="F18" s="68" t="s">
        <v>179</v>
      </c>
      <c r="G18" s="315" t="str">
        <f>'INSUMOS - QUANTIDADES'!B39</f>
        <v>  Pré-Inicial 2 (36-49 dias)</v>
      </c>
      <c r="H18" s="350"/>
      <c r="I18" s="85">
        <f>'INSUMOS - QUANTIDADES'!E39*'INSUMOS - QUANTIDADES'!F39</f>
        <v>91</v>
      </c>
      <c r="J18" s="275" t="s">
        <v>158</v>
      </c>
      <c r="K18" s="15">
        <f>I18*$N$12*'INSUMOS - PREÇOS'!F43</f>
        <v>0</v>
      </c>
      <c r="M18" s="81"/>
      <c r="N18" s="79"/>
    </row>
    <row r="19" spans="2:14" ht="18.75" customHeight="1">
      <c r="B19" s="12"/>
      <c r="C19" s="67"/>
      <c r="D19" s="67"/>
      <c r="E19" s="67"/>
      <c r="F19" s="68" t="s">
        <v>180</v>
      </c>
      <c r="G19" s="315" t="str">
        <f>'INSUMOS - QUANTIDADES'!B40</f>
        <v>  Inicial (50 - saída da creche)</v>
      </c>
      <c r="H19" s="350"/>
      <c r="I19" s="85">
        <f>'INSUMOS - QUANTIDADES'!E40*'INSUMOS - QUANTIDADES'!F40</f>
        <v>195</v>
      </c>
      <c r="J19" s="275" t="s">
        <v>158</v>
      </c>
      <c r="K19" s="15">
        <f>(I19*$N$12*'INSUMOS - PREÇOS'!F44)*(1-N24)</f>
        <v>0</v>
      </c>
      <c r="M19" s="81" t="s">
        <v>181</v>
      </c>
      <c r="N19" s="87">
        <f>365/$N$16</f>
        <v>2.4829931972789114</v>
      </c>
    </row>
    <row r="20" spans="2:14" ht="18.75" customHeight="1">
      <c r="B20" s="12"/>
      <c r="C20" s="67"/>
      <c r="D20" s="67"/>
      <c r="E20" s="67"/>
      <c r="F20" s="68"/>
      <c r="G20" s="315"/>
      <c r="H20" s="338"/>
      <c r="I20" s="75"/>
      <c r="J20" s="275"/>
      <c r="K20" s="15"/>
      <c r="M20" s="81" t="s">
        <v>182</v>
      </c>
      <c r="N20" s="88">
        <v>0.88</v>
      </c>
    </row>
    <row r="21" spans="2:14" ht="18.75" customHeight="1">
      <c r="B21" s="12"/>
      <c r="C21" s="67"/>
      <c r="D21" s="67"/>
      <c r="E21" s="67" t="s">
        <v>183</v>
      </c>
      <c r="F21" s="315" t="s">
        <v>30</v>
      </c>
      <c r="G21" s="315"/>
      <c r="H21" s="338"/>
      <c r="I21" s="75"/>
      <c r="J21" s="275"/>
      <c r="K21" s="15"/>
      <c r="M21" s="81"/>
      <c r="N21" s="88"/>
    </row>
    <row r="22" spans="2:14" ht="18.75" customHeight="1">
      <c r="B22" s="12"/>
      <c r="C22" s="67"/>
      <c r="D22" s="67"/>
      <c r="E22" s="67"/>
      <c r="F22" s="68" t="s">
        <v>184</v>
      </c>
      <c r="G22" s="315" t="str">
        <f>'INSUMOS - QUANTIDADES'!B42</f>
        <v>  120 a 150 kg</v>
      </c>
      <c r="H22" s="350"/>
      <c r="I22" s="85">
        <f>'INSUMOS - QUANTIDADES'!E42*'INSUMOS - QUANTIDADES'!F42</f>
        <v>0</v>
      </c>
      <c r="J22" s="275" t="s">
        <v>158</v>
      </c>
      <c r="K22" s="15">
        <f>I22*$N$10*'INSUMOS - PREÇOS'!$F$45</f>
        <v>0</v>
      </c>
      <c r="M22" s="81" t="s">
        <v>185</v>
      </c>
      <c r="N22" s="89">
        <v>0.06</v>
      </c>
    </row>
    <row r="23" spans="2:14" ht="18.75" customHeight="1">
      <c r="B23" s="12"/>
      <c r="C23" s="67"/>
      <c r="D23" s="67"/>
      <c r="E23" s="67"/>
      <c r="F23" s="68" t="s">
        <v>186</v>
      </c>
      <c r="G23" s="315" t="str">
        <f>'INSUMOS - QUANTIDADES'!B43</f>
        <v>  151 a 200 kg</v>
      </c>
      <c r="H23" s="350"/>
      <c r="I23" s="85">
        <f>'INSUMOS - QUANTIDADES'!E43*'INSUMOS - QUANTIDADES'!F43</f>
        <v>336</v>
      </c>
      <c r="J23" s="275" t="s">
        <v>158</v>
      </c>
      <c r="K23" s="15">
        <f>I23*$N$10*'INSUMOS - PREÇOS'!$F$45</f>
        <v>0</v>
      </c>
      <c r="M23" s="81" t="s">
        <v>187</v>
      </c>
      <c r="N23" s="89">
        <v>0.06</v>
      </c>
    </row>
    <row r="24" spans="2:14" ht="18.75" customHeight="1">
      <c r="B24" s="12"/>
      <c r="C24" s="67"/>
      <c r="D24" s="67"/>
      <c r="E24" s="67"/>
      <c r="F24" s="68" t="s">
        <v>188</v>
      </c>
      <c r="G24" s="315" t="str">
        <f>'INSUMOS - QUANTIDADES'!B44</f>
        <v>  201 a 250 kg</v>
      </c>
      <c r="H24" s="350"/>
      <c r="I24" s="85">
        <f>'INSUMOS - QUANTIDADES'!E44*'INSUMOS - QUANTIDADES'!F44</f>
        <v>0</v>
      </c>
      <c r="J24" s="275" t="s">
        <v>158</v>
      </c>
      <c r="K24" s="15">
        <f>I24*$N$10*'INSUMOS - PREÇOS'!$F$45</f>
        <v>0</v>
      </c>
      <c r="M24" s="81" t="s">
        <v>189</v>
      </c>
      <c r="N24" s="89">
        <v>0.01</v>
      </c>
    </row>
    <row r="25" spans="2:14" ht="18.75" customHeight="1">
      <c r="B25" s="12"/>
      <c r="C25" s="67"/>
      <c r="D25" s="67"/>
      <c r="E25" s="67"/>
      <c r="F25" s="68" t="s">
        <v>190</v>
      </c>
      <c r="G25" s="315" t="str">
        <f>'INSUMOS - QUANTIDADES'!B45</f>
        <v>  251 a 300 kg</v>
      </c>
      <c r="H25" s="350"/>
      <c r="I25" s="85">
        <f>'INSUMOS - QUANTIDADES'!E45*'INSUMOS - QUANTIDADES'!F45</f>
        <v>0</v>
      </c>
      <c r="J25" s="275" t="s">
        <v>158</v>
      </c>
      <c r="K25" s="15">
        <f>I25*$N$10*'INSUMOS - PREÇOS'!$F$45</f>
        <v>0</v>
      </c>
      <c r="M25" s="81" t="s">
        <v>191</v>
      </c>
      <c r="N25" s="87">
        <f>N27-(N28*N27)-N23</f>
        <v>12.225</v>
      </c>
    </row>
    <row r="26" spans="2:14" ht="18.75" customHeight="1">
      <c r="B26" s="12"/>
      <c r="C26" s="67"/>
      <c r="D26" s="67"/>
      <c r="E26" s="67"/>
      <c r="F26" s="335" t="s">
        <v>192</v>
      </c>
      <c r="G26" s="351"/>
      <c r="H26" s="350"/>
      <c r="I26" s="75"/>
      <c r="J26" s="275"/>
      <c r="K26" s="357">
        <f>SUM(K9:K25)</f>
        <v>0</v>
      </c>
      <c r="M26" s="81" t="s">
        <v>193</v>
      </c>
      <c r="N26" s="87">
        <f>N25*N19</f>
        <v>30.35459183673469</v>
      </c>
    </row>
    <row r="27" spans="2:14" ht="18.75" customHeight="1">
      <c r="B27" s="12"/>
      <c r="C27" s="67"/>
      <c r="D27" s="67"/>
      <c r="E27" s="67"/>
      <c r="F27" s="68"/>
      <c r="G27" s="68"/>
      <c r="H27" s="68"/>
      <c r="I27" s="75"/>
      <c r="J27" s="275"/>
      <c r="K27" s="15"/>
      <c r="M27" s="81" t="s">
        <v>194</v>
      </c>
      <c r="N27" s="90">
        <v>13</v>
      </c>
    </row>
    <row r="28" spans="2:14" ht="18.75" customHeight="1">
      <c r="B28" s="12"/>
      <c r="C28" s="67"/>
      <c r="D28" s="67" t="s">
        <v>195</v>
      </c>
      <c r="E28" s="68" t="s">
        <v>196</v>
      </c>
      <c r="F28" s="68"/>
      <c r="G28" s="68"/>
      <c r="H28" s="68"/>
      <c r="I28" s="75"/>
      <c r="J28" s="275"/>
      <c r="K28" s="15"/>
      <c r="M28" s="81" t="s">
        <v>197</v>
      </c>
      <c r="N28" s="91">
        <v>0.055</v>
      </c>
    </row>
    <row r="29" spans="2:14" ht="18.75" customHeight="1">
      <c r="B29" s="12"/>
      <c r="C29" s="67"/>
      <c r="D29" s="67"/>
      <c r="E29" s="67" t="s">
        <v>198</v>
      </c>
      <c r="F29" s="315" t="s">
        <v>25</v>
      </c>
      <c r="G29" s="315"/>
      <c r="H29" s="315"/>
      <c r="I29" s="75"/>
      <c r="J29" s="275"/>
      <c r="K29" s="15"/>
      <c r="M29" s="81"/>
      <c r="N29" s="90"/>
    </row>
    <row r="30" spans="2:14" ht="18.75" customHeight="1">
      <c r="B30" s="12"/>
      <c r="C30" s="67"/>
      <c r="D30" s="67"/>
      <c r="E30" s="67"/>
      <c r="F30" s="68" t="s">
        <v>199</v>
      </c>
      <c r="G30" s="315" t="str">
        <f>'INSUMOS - QUANTIDADES'!$B$51</f>
        <v>Vacina Peste Suína Clássica</v>
      </c>
      <c r="H30" s="338"/>
      <c r="I30" s="92">
        <f>'INSUMOS - QUANTIDADES'!F52</f>
        <v>2.4829931972789114</v>
      </c>
      <c r="J30" s="275" t="s">
        <v>200</v>
      </c>
      <c r="K30" s="15">
        <f>I30*N$11*'INSUMOS - PREÇOS'!F47</f>
        <v>0</v>
      </c>
      <c r="M30" s="81" t="s">
        <v>201</v>
      </c>
      <c r="N30" s="93">
        <v>24</v>
      </c>
    </row>
    <row r="31" spans="2:14" ht="18.75" customHeight="1">
      <c r="B31" s="12"/>
      <c r="C31" s="67"/>
      <c r="D31" s="67"/>
      <c r="E31" s="67"/>
      <c r="F31" s="68" t="s">
        <v>202</v>
      </c>
      <c r="G31" s="315" t="str">
        <f>'INSUMOS - QUANTIDADES'!$B$55</f>
        <v>Vacina Rinite Atrófica</v>
      </c>
      <c r="H31" s="338"/>
      <c r="I31" s="92">
        <f>'INSUMOS - QUANTIDADES'!F56</f>
        <v>4.965986394557823</v>
      </c>
      <c r="J31" s="275" t="s">
        <v>200</v>
      </c>
      <c r="K31" s="15">
        <f>I31*N$11*'INSUMOS - PREÇOS'!F48</f>
        <v>636727.8300708038</v>
      </c>
      <c r="M31" s="78" t="s">
        <v>203</v>
      </c>
      <c r="N31" s="94">
        <v>130</v>
      </c>
    </row>
    <row r="32" spans="2:14" ht="18.75" customHeight="1" thickBot="1">
      <c r="B32" s="12"/>
      <c r="C32" s="67"/>
      <c r="D32" s="67"/>
      <c r="E32" s="67"/>
      <c r="F32" s="68" t="s">
        <v>204</v>
      </c>
      <c r="G32" s="315" t="str">
        <f>'INSUMOS - QUANTIDADES'!$B$59</f>
        <v>Vacina Leptospirose</v>
      </c>
      <c r="H32" s="338"/>
      <c r="I32" s="92">
        <f>'INSUMOS - QUANTIDADES'!F60</f>
        <v>4.965986394557823</v>
      </c>
      <c r="J32" s="275" t="s">
        <v>200</v>
      </c>
      <c r="K32" s="15">
        <f>I32*N$11*'INSUMOS - PREÇOS'!F49</f>
        <v>477545.87255310285</v>
      </c>
      <c r="M32" s="95" t="s">
        <v>205</v>
      </c>
      <c r="N32" s="96">
        <v>150</v>
      </c>
    </row>
    <row r="33" spans="2:11" ht="18.75" customHeight="1">
      <c r="B33" s="12"/>
      <c r="C33" s="67"/>
      <c r="D33" s="67"/>
      <c r="E33" s="67"/>
      <c r="F33" s="59" t="s">
        <v>206</v>
      </c>
      <c r="G33" s="291" t="str">
        <f>'INSUMOS - QUANTIDADES'!$B$63</f>
        <v>Vacina Parvovirose</v>
      </c>
      <c r="H33" s="349"/>
      <c r="I33" s="92">
        <f>'INSUMOS - QUANTIDADES'!F64</f>
        <v>0</v>
      </c>
      <c r="J33" s="275" t="s">
        <v>200</v>
      </c>
      <c r="K33" s="15">
        <f>I33*N$11*'INSUMOS - PREÇOS'!F50</f>
        <v>0</v>
      </c>
    </row>
    <row r="34" spans="2:11" ht="18.75" customHeight="1">
      <c r="B34" s="12"/>
      <c r="C34" s="67"/>
      <c r="D34" s="67"/>
      <c r="E34" s="67"/>
      <c r="F34" s="68" t="s">
        <v>207</v>
      </c>
      <c r="G34" s="345" t="str">
        <f>'INSUMOS - QUANTIDADES'!$B$67</f>
        <v>Vacina Pneumonia Enzoótica</v>
      </c>
      <c r="H34" s="346"/>
      <c r="I34" s="92">
        <f>'INSUMOS - QUANTIDADES'!F68</f>
        <v>4.965986394557823</v>
      </c>
      <c r="J34" s="275" t="s">
        <v>200</v>
      </c>
      <c r="K34" s="15">
        <f>I34*N$11*'INSUMOS - PREÇOS'!F51</f>
        <v>116733.4355129807</v>
      </c>
    </row>
    <row r="35" spans="2:11" ht="18.75" customHeight="1">
      <c r="B35" s="12"/>
      <c r="C35" s="67"/>
      <c r="D35" s="67"/>
      <c r="E35" s="67"/>
      <c r="F35" s="68" t="s">
        <v>208</v>
      </c>
      <c r="G35" s="345" t="str">
        <f>'INSUMOS - QUANTIDADES'!$B$71</f>
        <v>Vacina Erisipela</v>
      </c>
      <c r="H35" s="346"/>
      <c r="I35" s="92">
        <f>'INSUMOS - QUANTIDADES'!F72</f>
        <v>4.965986394557823</v>
      </c>
      <c r="J35" s="275" t="s">
        <v>200</v>
      </c>
      <c r="K35" s="15">
        <f>I35*N$11*'INSUMOS - PREÇOS'!F52</f>
        <v>1002846.3323615158</v>
      </c>
    </row>
    <row r="36" spans="2:11" ht="18.75" customHeight="1">
      <c r="B36" s="12"/>
      <c r="C36" s="67"/>
      <c r="D36" s="67"/>
      <c r="E36" s="67"/>
      <c r="F36" s="68" t="s">
        <v>209</v>
      </c>
      <c r="G36" s="345" t="str">
        <f>'INSUMOS - QUANTIDADES'!$B$75</f>
        <v>Vacina Pleuropneumonia</v>
      </c>
      <c r="H36" s="346"/>
      <c r="I36" s="92">
        <f>'INSUMOS - QUANTIDADES'!F76</f>
        <v>4.965986394557823</v>
      </c>
      <c r="J36" s="275" t="s">
        <v>200</v>
      </c>
      <c r="K36" s="15">
        <f>I36*N$11*'INSUMOS - PREÇOS'!F53</f>
        <v>281221.4582812717</v>
      </c>
    </row>
    <row r="37" spans="2:11" ht="18.75" customHeight="1">
      <c r="B37" s="12"/>
      <c r="C37" s="67"/>
      <c r="D37" s="67"/>
      <c r="E37" s="67"/>
      <c r="F37" s="68" t="s">
        <v>210</v>
      </c>
      <c r="G37" s="345" t="str">
        <f>'INSUMOS - QUANTIDADES'!$B$79</f>
        <v>Vacina Aujeszky</v>
      </c>
      <c r="H37" s="346"/>
      <c r="I37" s="92">
        <f>'INSUMOS - QUANTIDADES'!F80</f>
        <v>2.4829931972789114</v>
      </c>
      <c r="J37" s="275" t="s">
        <v>200</v>
      </c>
      <c r="K37" s="15">
        <f>I37*N$11*'INSUMOS - PREÇOS'!F54</f>
        <v>0</v>
      </c>
    </row>
    <row r="38" spans="2:11" ht="18.75" customHeight="1">
      <c r="B38" s="12"/>
      <c r="C38" s="67"/>
      <c r="D38" s="67"/>
      <c r="E38" s="67"/>
      <c r="F38" s="59" t="s">
        <v>211</v>
      </c>
      <c r="G38" s="347" t="str">
        <f>'INSUMOS - QUANTIDADES'!$B$83</f>
        <v>Vacina Colibacilose</v>
      </c>
      <c r="H38" s="348"/>
      <c r="I38" s="92">
        <f>'INSUMOS - QUANTIDADES'!F84</f>
        <v>0</v>
      </c>
      <c r="J38" s="275" t="s">
        <v>200</v>
      </c>
      <c r="K38" s="15">
        <f>I38*N$11*'INSUMOS - PREÇOS'!F55</f>
        <v>0</v>
      </c>
    </row>
    <row r="39" spans="2:11" ht="18.75" customHeight="1">
      <c r="B39" s="12"/>
      <c r="C39" s="67"/>
      <c r="D39" s="67"/>
      <c r="E39" s="67"/>
      <c r="F39" s="59"/>
      <c r="G39" s="73"/>
      <c r="H39" s="73"/>
      <c r="I39" s="85"/>
      <c r="J39" s="275"/>
      <c r="K39" s="15"/>
    </row>
    <row r="40" spans="2:11" ht="18.75" customHeight="1">
      <c r="B40" s="12"/>
      <c r="C40" s="67"/>
      <c r="D40" s="67"/>
      <c r="E40" s="67" t="s">
        <v>212</v>
      </c>
      <c r="F40" s="315" t="s">
        <v>41</v>
      </c>
      <c r="G40" s="315"/>
      <c r="H40" s="315"/>
      <c r="I40" s="75"/>
      <c r="J40" s="275"/>
      <c r="K40" s="15"/>
    </row>
    <row r="41" spans="2:11" ht="18.75" customHeight="1">
      <c r="B41" s="12"/>
      <c r="C41" s="67"/>
      <c r="D41" s="67"/>
      <c r="E41" s="67"/>
      <c r="F41" s="68" t="s">
        <v>213</v>
      </c>
      <c r="G41" s="315" t="str">
        <f>'INSUMOS - QUANTIDADES'!$B$51</f>
        <v>Vacina Peste Suína Clássica</v>
      </c>
      <c r="H41" s="338"/>
      <c r="I41" s="92">
        <f>'INSUMOS - QUANTIDADES'!F53</f>
        <v>1.2414965986394557</v>
      </c>
      <c r="J41" s="275" t="s">
        <v>200</v>
      </c>
      <c r="K41" s="15">
        <f>I41*$N$7*'INSUMOS - PREÇOS'!F47</f>
        <v>0</v>
      </c>
    </row>
    <row r="42" spans="2:11" ht="18.75" customHeight="1">
      <c r="B42" s="12"/>
      <c r="C42" s="67"/>
      <c r="D42" s="67"/>
      <c r="E42" s="67"/>
      <c r="F42" s="68" t="s">
        <v>214</v>
      </c>
      <c r="G42" s="315" t="str">
        <f>'INSUMOS - QUANTIDADES'!$B$55</f>
        <v>Vacina Rinite Atrófica</v>
      </c>
      <c r="H42" s="338"/>
      <c r="I42" s="92">
        <f>'INSUMOS - QUANTIDADES'!F57</f>
        <v>2.4829931972789114</v>
      </c>
      <c r="J42" s="275" t="s">
        <v>200</v>
      </c>
      <c r="K42" s="15">
        <f>I42*$N$7*'INSUMOS - PREÇOS'!F48</f>
        <v>11918.367346938774</v>
      </c>
    </row>
    <row r="43" spans="2:11" ht="18.75" customHeight="1">
      <c r="B43" s="12"/>
      <c r="C43" s="67"/>
      <c r="D43" s="67"/>
      <c r="E43" s="67"/>
      <c r="F43" s="68" t="s">
        <v>215</v>
      </c>
      <c r="G43" s="315" t="str">
        <f>'INSUMOS - QUANTIDADES'!$B$59</f>
        <v>Vacina Leptospirose</v>
      </c>
      <c r="H43" s="338"/>
      <c r="I43" s="92">
        <f>'INSUMOS - QUANTIDADES'!F61</f>
        <v>2.4829931972789114</v>
      </c>
      <c r="J43" s="275" t="s">
        <v>200</v>
      </c>
      <c r="K43" s="15">
        <f>I43*$N$7*'INSUMOS - PREÇOS'!F49</f>
        <v>8938.775510204081</v>
      </c>
    </row>
    <row r="44" spans="2:11" ht="18.75" customHeight="1">
      <c r="B44" s="12"/>
      <c r="C44" s="67"/>
      <c r="D44" s="67"/>
      <c r="E44" s="67"/>
      <c r="F44" s="68" t="s">
        <v>216</v>
      </c>
      <c r="G44" s="291" t="str">
        <f>'INSUMOS - QUANTIDADES'!$B$63</f>
        <v>Vacina Parvovirose</v>
      </c>
      <c r="H44" s="349"/>
      <c r="I44" s="92">
        <f>'INSUMOS - QUANTIDADES'!F65</f>
        <v>2.4829931972789114</v>
      </c>
      <c r="J44" s="275" t="s">
        <v>200</v>
      </c>
      <c r="K44" s="15">
        <f>I44*$N$7*'INSUMOS - PREÇOS'!F50</f>
        <v>8938.775510204081</v>
      </c>
    </row>
    <row r="45" spans="2:11" ht="18.75" customHeight="1">
      <c r="B45" s="12"/>
      <c r="C45" s="67"/>
      <c r="D45" s="67"/>
      <c r="E45" s="67"/>
      <c r="F45" s="59" t="s">
        <v>217</v>
      </c>
      <c r="G45" s="345" t="str">
        <f>'INSUMOS - QUANTIDADES'!$B$67</f>
        <v>Vacina Pneumonia Enzoótica</v>
      </c>
      <c r="H45" s="346"/>
      <c r="I45" s="97">
        <f>'INSUMOS - QUANTIDADES'!F69</f>
        <v>2.4829931972789114</v>
      </c>
      <c r="J45" s="275" t="s">
        <v>200</v>
      </c>
      <c r="K45" s="15">
        <f>I45*$N$7*'INSUMOS - PREÇOS'!F51</f>
        <v>2185.034013605442</v>
      </c>
    </row>
    <row r="46" spans="2:11" ht="18.75" customHeight="1">
      <c r="B46" s="12"/>
      <c r="C46" s="67"/>
      <c r="D46" s="67"/>
      <c r="E46" s="67"/>
      <c r="F46" s="59" t="s">
        <v>218</v>
      </c>
      <c r="G46" s="345" t="str">
        <f>'INSUMOS - QUANTIDADES'!$B$71</f>
        <v>Vacina Erisipela</v>
      </c>
      <c r="H46" s="346"/>
      <c r="I46" s="97">
        <f>'INSUMOS - QUANTIDADES'!F73</f>
        <v>4.965986394557823</v>
      </c>
      <c r="J46" s="275" t="s">
        <v>200</v>
      </c>
      <c r="K46" s="15">
        <f>I46*$N$7*'INSUMOS - PREÇOS'!F52</f>
        <v>37542.85714285714</v>
      </c>
    </row>
    <row r="47" spans="2:11" ht="18.75" customHeight="1">
      <c r="B47" s="12"/>
      <c r="C47" s="67"/>
      <c r="D47" s="67"/>
      <c r="E47" s="67"/>
      <c r="F47" s="59" t="s">
        <v>219</v>
      </c>
      <c r="G47" s="345" t="str">
        <f>'INSUMOS - QUANTIDADES'!$B$75</f>
        <v>Vacina Pleuropneumonia</v>
      </c>
      <c r="H47" s="346"/>
      <c r="I47" s="97">
        <f>'INSUMOS - QUANTIDADES'!F77</f>
        <v>4.965986394557823</v>
      </c>
      <c r="J47" s="275" t="s">
        <v>200</v>
      </c>
      <c r="K47" s="15">
        <f>I47*$N$7*'INSUMOS - PREÇOS'!F53</f>
        <v>10527.891156462585</v>
      </c>
    </row>
    <row r="48" spans="2:11" ht="18.75" customHeight="1">
      <c r="B48" s="12"/>
      <c r="C48" s="67"/>
      <c r="D48" s="67"/>
      <c r="E48" s="67"/>
      <c r="F48" s="59" t="s">
        <v>220</v>
      </c>
      <c r="G48" s="345" t="str">
        <f>'INSUMOS - QUANTIDADES'!$B$79</f>
        <v>Vacina Aujeszky</v>
      </c>
      <c r="H48" s="346"/>
      <c r="I48" s="97">
        <f>'INSUMOS - QUANTIDADES'!F5576</f>
        <v>0</v>
      </c>
      <c r="J48" s="275" t="s">
        <v>200</v>
      </c>
      <c r="K48" s="15">
        <f>I48*$N$7*'INSUMOS - PREÇOS'!F54</f>
        <v>0</v>
      </c>
    </row>
    <row r="49" spans="2:14" ht="18.75" customHeight="1">
      <c r="B49" s="12"/>
      <c r="C49" s="67"/>
      <c r="D49" s="67"/>
      <c r="E49" s="67"/>
      <c r="F49" s="59" t="s">
        <v>221</v>
      </c>
      <c r="G49" s="347" t="str">
        <f>'INSUMOS - QUANTIDADES'!$B$83</f>
        <v>Vacina Colibacilose</v>
      </c>
      <c r="H49" s="348"/>
      <c r="I49" s="97">
        <f>'INSUMOS - QUANTIDADES'!F85</f>
        <v>2.4829931972789114</v>
      </c>
      <c r="J49" s="275" t="s">
        <v>200</v>
      </c>
      <c r="K49" s="15">
        <f>I49*$N$7*'INSUMOS - PREÇOS'!F55</f>
        <v>18771.42857142857</v>
      </c>
      <c r="M49" s="98"/>
      <c r="N49" s="99"/>
    </row>
    <row r="50" spans="2:14" ht="18.75" customHeight="1">
      <c r="B50" s="12"/>
      <c r="C50" s="67"/>
      <c r="D50" s="67"/>
      <c r="E50" s="67"/>
      <c r="F50" s="59"/>
      <c r="G50" s="73"/>
      <c r="H50" s="73"/>
      <c r="I50" s="75"/>
      <c r="J50" s="275"/>
      <c r="K50" s="15"/>
      <c r="M50" s="98"/>
      <c r="N50" s="99"/>
    </row>
    <row r="51" spans="2:14" ht="18.75" customHeight="1">
      <c r="B51" s="12"/>
      <c r="C51" s="67"/>
      <c r="D51" s="67"/>
      <c r="E51" s="67" t="s">
        <v>222</v>
      </c>
      <c r="F51" s="315" t="s">
        <v>30</v>
      </c>
      <c r="G51" s="315"/>
      <c r="H51" s="315"/>
      <c r="I51" s="75"/>
      <c r="J51" s="275"/>
      <c r="K51" s="15"/>
      <c r="M51" s="98"/>
      <c r="N51" s="99"/>
    </row>
    <row r="52" spans="2:11" ht="18.75" customHeight="1">
      <c r="B52" s="12"/>
      <c r="C52" s="67"/>
      <c r="D52" s="67"/>
      <c r="E52" s="67"/>
      <c r="F52" s="68" t="s">
        <v>223</v>
      </c>
      <c r="G52" s="315" t="str">
        <f>'INSUMOS - QUANTIDADES'!$B$51</f>
        <v>Vacina Peste Suína Clássica</v>
      </c>
      <c r="H52" s="338"/>
      <c r="I52" s="92">
        <f>'INSUMOS - QUANTIDADES'!F54</f>
        <v>2.4829931972789114</v>
      </c>
      <c r="J52" s="275" t="s">
        <v>200</v>
      </c>
      <c r="K52" s="15">
        <f>I52*$N$10*'INSUMOS - PREÇOS'!F47</f>
        <v>0</v>
      </c>
    </row>
    <row r="53" spans="2:11" ht="18.75" customHeight="1">
      <c r="B53" s="12"/>
      <c r="C53" s="67"/>
      <c r="D53" s="67"/>
      <c r="E53" s="67"/>
      <c r="F53" s="68" t="s">
        <v>224</v>
      </c>
      <c r="G53" s="315" t="str">
        <f>'INSUMOS - QUANTIDADES'!$B$55</f>
        <v>Vacina Rinite Atrófica</v>
      </c>
      <c r="H53" s="338"/>
      <c r="I53" s="92">
        <f>'INSUMOS - QUANTIDADES'!F58</f>
        <v>4.965986394557823</v>
      </c>
      <c r="J53" s="275" t="s">
        <v>200</v>
      </c>
      <c r="K53" s="15">
        <f>I53*$N$10*'INSUMOS - PREÇOS'!F48</f>
        <v>158.91156462585033</v>
      </c>
    </row>
    <row r="54" spans="2:11" ht="18.75" customHeight="1">
      <c r="B54" s="12"/>
      <c r="C54" s="67"/>
      <c r="D54" s="67"/>
      <c r="E54" s="67"/>
      <c r="F54" s="68" t="s">
        <v>225</v>
      </c>
      <c r="G54" s="315" t="str">
        <f>'INSUMOS - QUANTIDADES'!$B$59</f>
        <v>Vacina Leptospirose</v>
      </c>
      <c r="H54" s="338"/>
      <c r="I54" s="92">
        <f>'INSUMOS - QUANTIDADES'!F62</f>
        <v>4.965986394557823</v>
      </c>
      <c r="J54" s="275" t="s">
        <v>200</v>
      </c>
      <c r="K54" s="15">
        <f>I54*$N$10*'INSUMOS - PREÇOS'!F49</f>
        <v>119.18367346938774</v>
      </c>
    </row>
    <row r="55" spans="2:11" ht="18.75" customHeight="1">
      <c r="B55" s="12"/>
      <c r="C55" s="67"/>
      <c r="D55" s="67"/>
      <c r="E55" s="67"/>
      <c r="F55" s="59" t="s">
        <v>226</v>
      </c>
      <c r="G55" s="291" t="str">
        <f>'INSUMOS - QUANTIDADES'!$B$63</f>
        <v>Vacina Parvovirose</v>
      </c>
      <c r="H55" s="349"/>
      <c r="I55" s="92">
        <f>'INSUMOS - QUANTIDADES'!F66</f>
        <v>2.4829931972789114</v>
      </c>
      <c r="J55" s="275" t="s">
        <v>200</v>
      </c>
      <c r="K55" s="15">
        <f>I55*$N$10*'INSUMOS - PREÇOS'!F50</f>
        <v>59.59183673469387</v>
      </c>
    </row>
    <row r="56" spans="2:11" ht="18.75" customHeight="1">
      <c r="B56" s="12"/>
      <c r="C56" s="67"/>
      <c r="D56" s="67"/>
      <c r="E56" s="67"/>
      <c r="F56" s="59" t="s">
        <v>227</v>
      </c>
      <c r="G56" s="345" t="str">
        <f>'INSUMOS - QUANTIDADES'!$B$67</f>
        <v>Vacina Pneumonia Enzoótica</v>
      </c>
      <c r="H56" s="346"/>
      <c r="I56" s="92">
        <f>'INSUMOS - QUANTIDADES'!F70</f>
        <v>2.4829931972789114</v>
      </c>
      <c r="J56" s="275" t="s">
        <v>200</v>
      </c>
      <c r="K56" s="15">
        <f>I56*$N$10*'INSUMOS - PREÇOS'!F51</f>
        <v>14.56689342403628</v>
      </c>
    </row>
    <row r="57" spans="2:11" ht="18.75" customHeight="1">
      <c r="B57" s="12"/>
      <c r="C57" s="67"/>
      <c r="D57" s="67"/>
      <c r="E57" s="67"/>
      <c r="F57" s="59" t="s">
        <v>228</v>
      </c>
      <c r="G57" s="345" t="str">
        <f>'INSUMOS - QUANTIDADES'!$B$71</f>
        <v>Vacina Erisipela</v>
      </c>
      <c r="H57" s="346"/>
      <c r="I57" s="92">
        <f>'INSUMOS - QUANTIDADES'!F74</f>
        <v>2.4829931972789114</v>
      </c>
      <c r="J57" s="275" t="s">
        <v>200</v>
      </c>
      <c r="K57" s="15">
        <f>I57*$N$10*'INSUMOS - PREÇOS'!F52</f>
        <v>125.14285714285712</v>
      </c>
    </row>
    <row r="58" spans="2:11" ht="18.75" customHeight="1">
      <c r="B58" s="12"/>
      <c r="C58" s="67"/>
      <c r="D58" s="67"/>
      <c r="E58" s="67"/>
      <c r="F58" s="59" t="s">
        <v>229</v>
      </c>
      <c r="G58" s="345" t="str">
        <f>'INSUMOS - QUANTIDADES'!$B$75</f>
        <v>Vacina Pleuropneumonia</v>
      </c>
      <c r="H58" s="346"/>
      <c r="I58" s="92">
        <f>'INSUMOS - QUANTIDADES'!F78</f>
        <v>2.4829931972789114</v>
      </c>
      <c r="J58" s="275" t="s">
        <v>200</v>
      </c>
      <c r="K58" s="15">
        <f>I58*$N$10*'INSUMOS - PREÇOS'!F53</f>
        <v>35.09297052154195</v>
      </c>
    </row>
    <row r="59" spans="2:11" ht="18.75" customHeight="1">
      <c r="B59" s="12"/>
      <c r="C59" s="67"/>
      <c r="D59" s="67"/>
      <c r="E59" s="67"/>
      <c r="F59" s="59" t="s">
        <v>230</v>
      </c>
      <c r="G59" s="345" t="str">
        <f>'INSUMOS - QUANTIDADES'!$B$79</f>
        <v>Vacina Aujeszky</v>
      </c>
      <c r="H59" s="346"/>
      <c r="I59" s="92">
        <f>'INSUMOS - QUANTIDADES'!F82</f>
        <v>4.965986394557823</v>
      </c>
      <c r="J59" s="275" t="s">
        <v>200</v>
      </c>
      <c r="K59" s="15">
        <f>I59*$N$10*'INSUMOS - PREÇOS'!F54</f>
        <v>0</v>
      </c>
    </row>
    <row r="60" spans="2:11" ht="18.75" customHeight="1">
      <c r="B60" s="12"/>
      <c r="C60" s="67"/>
      <c r="D60" s="67"/>
      <c r="E60" s="67"/>
      <c r="F60" s="59" t="s">
        <v>231</v>
      </c>
      <c r="G60" s="347" t="str">
        <f>'INSUMOS - QUANTIDADES'!$B$83</f>
        <v>Vacina Colibacilose</v>
      </c>
      <c r="H60" s="348"/>
      <c r="I60" s="92">
        <f>'INSUMOS - QUANTIDADES'!F86</f>
        <v>0</v>
      </c>
      <c r="J60" s="275" t="s">
        <v>200</v>
      </c>
      <c r="K60" s="15">
        <f>I60*$N$10*'INSUMOS - PREÇOS'!F55</f>
        <v>0</v>
      </c>
    </row>
    <row r="61" spans="2:14" ht="18.75" customHeight="1">
      <c r="B61" s="12"/>
      <c r="C61" s="67"/>
      <c r="D61" s="67"/>
      <c r="E61" s="67"/>
      <c r="F61" s="335" t="s">
        <v>232</v>
      </c>
      <c r="G61" s="335"/>
      <c r="H61" s="336"/>
      <c r="I61" s="75"/>
      <c r="J61" s="275"/>
      <c r="K61" s="357">
        <f>SUM(K30:K60)</f>
        <v>2614410.547827293</v>
      </c>
      <c r="M61" s="58"/>
      <c r="N61" s="58"/>
    </row>
    <row r="62" spans="2:14" ht="18.75" customHeight="1">
      <c r="B62" s="12"/>
      <c r="C62" s="67"/>
      <c r="D62" s="67"/>
      <c r="E62" s="67"/>
      <c r="F62" s="65"/>
      <c r="G62" s="65"/>
      <c r="H62" s="66"/>
      <c r="I62" s="75"/>
      <c r="J62" s="275"/>
      <c r="K62" s="357"/>
      <c r="M62" s="58"/>
      <c r="N62" s="58"/>
    </row>
    <row r="63" spans="2:14" ht="18.75" customHeight="1">
      <c r="B63" s="12"/>
      <c r="C63" s="67"/>
      <c r="D63" s="67" t="s">
        <v>233</v>
      </c>
      <c r="E63" s="344" t="s">
        <v>234</v>
      </c>
      <c r="F63" s="344"/>
      <c r="G63" s="344"/>
      <c r="H63" s="338"/>
      <c r="I63" s="75">
        <f>'INSUMOS - QUANTIDADES'!C128</f>
        <v>1000</v>
      </c>
      <c r="J63" s="275" t="s">
        <v>77</v>
      </c>
      <c r="K63" s="357">
        <f>I63*'INSUMOS - PREÇOS'!F15</f>
        <v>6000</v>
      </c>
      <c r="M63" s="58"/>
      <c r="N63" s="58"/>
    </row>
    <row r="64" spans="2:11" ht="18.75" customHeight="1">
      <c r="B64" s="12"/>
      <c r="C64" s="67"/>
      <c r="D64" s="67"/>
      <c r="E64" s="67"/>
      <c r="F64" s="335" t="s">
        <v>235</v>
      </c>
      <c r="G64" s="335"/>
      <c r="H64" s="336"/>
      <c r="I64" s="75"/>
      <c r="J64" s="275"/>
      <c r="K64" s="357">
        <f>K63</f>
        <v>6000</v>
      </c>
    </row>
    <row r="65" spans="2:11" ht="18.75" customHeight="1">
      <c r="B65" s="12"/>
      <c r="C65" s="67"/>
      <c r="D65" s="67"/>
      <c r="F65" s="100"/>
      <c r="G65" s="100"/>
      <c r="H65" s="66"/>
      <c r="I65" s="75"/>
      <c r="J65" s="275"/>
      <c r="K65" s="357"/>
    </row>
    <row r="66" spans="2:11" ht="18.75" customHeight="1">
      <c r="B66" s="12"/>
      <c r="C66" s="67"/>
      <c r="D66" s="67" t="s">
        <v>236</v>
      </c>
      <c r="E66" s="344" t="s">
        <v>237</v>
      </c>
      <c r="F66" s="344"/>
      <c r="G66" s="344"/>
      <c r="H66" s="338"/>
      <c r="I66" s="75"/>
      <c r="J66" s="275"/>
      <c r="K66" s="357"/>
    </row>
    <row r="67" spans="2:11" ht="18.75" customHeight="1">
      <c r="B67" s="12"/>
      <c r="C67" s="67"/>
      <c r="D67" s="67"/>
      <c r="E67" s="67" t="s">
        <v>238</v>
      </c>
      <c r="F67" s="344" t="str">
        <f>'INSUMOS - QUANTIDADES'!B92</f>
        <v>Equipamento para inseminação artificial</v>
      </c>
      <c r="G67" s="344"/>
      <c r="H67" s="338"/>
      <c r="I67" s="102">
        <f>'INSUMOS - QUANTIDADES'!G92*(1+$N$22)</f>
        <v>5.263945578231293</v>
      </c>
      <c r="J67" s="275" t="s">
        <v>239</v>
      </c>
      <c r="K67" s="15">
        <f>I67*'INSUMOS - PREÇOS'!F57</f>
        <v>4.684911564625851</v>
      </c>
    </row>
    <row r="68" spans="2:11" ht="18.75" customHeight="1">
      <c r="B68" s="12"/>
      <c r="C68" s="67"/>
      <c r="D68" s="67"/>
      <c r="E68" s="67" t="s">
        <v>240</v>
      </c>
      <c r="F68" s="344" t="str">
        <f>'INSUMOS - QUANTIDADES'!B93</f>
        <v>Dose de sêmen</v>
      </c>
      <c r="G68" s="344"/>
      <c r="H68" s="338"/>
      <c r="I68" s="102">
        <f>'INSUMOS - QUANTIDADES'!G93*(1+$N$22)</f>
        <v>5.263945578231293</v>
      </c>
      <c r="J68" s="275" t="s">
        <v>239</v>
      </c>
      <c r="K68" s="15">
        <f>I68*'INSUMOS - PREÇOS'!F58</f>
        <v>7.843278911564626</v>
      </c>
    </row>
    <row r="69" spans="2:11" ht="18.75" customHeight="1">
      <c r="B69" s="12"/>
      <c r="C69" s="67"/>
      <c r="D69" s="67"/>
      <c r="E69" s="67"/>
      <c r="F69" s="335" t="s">
        <v>241</v>
      </c>
      <c r="G69" s="335"/>
      <c r="H69" s="336"/>
      <c r="I69" s="102"/>
      <c r="J69" s="275"/>
      <c r="K69" s="357">
        <f>SUM(K67:K68)*N7</f>
        <v>12528.190476190477</v>
      </c>
    </row>
    <row r="70" spans="2:14" s="59" customFormat="1" ht="18.75" customHeight="1">
      <c r="B70" s="12"/>
      <c r="C70" s="67"/>
      <c r="D70" s="67"/>
      <c r="E70" s="67"/>
      <c r="G70" s="68"/>
      <c r="H70" s="72"/>
      <c r="I70" s="75"/>
      <c r="J70" s="275"/>
      <c r="K70" s="15"/>
      <c r="M70" s="1"/>
      <c r="N70" s="1"/>
    </row>
    <row r="71" spans="2:14" s="59" customFormat="1" ht="18.75" customHeight="1">
      <c r="B71" s="12"/>
      <c r="C71" s="67"/>
      <c r="D71" s="335" t="s">
        <v>242</v>
      </c>
      <c r="E71" s="335"/>
      <c r="F71" s="335"/>
      <c r="G71" s="335"/>
      <c r="H71" s="336"/>
      <c r="I71" s="75"/>
      <c r="J71" s="275"/>
      <c r="K71" s="357">
        <f>SUM(K61+K26+K64+K69)</f>
        <v>2632938.7383034835</v>
      </c>
      <c r="M71" s="58"/>
      <c r="N71" s="58"/>
    </row>
    <row r="72" spans="2:11" ht="18.75" customHeight="1">
      <c r="B72" s="12"/>
      <c r="C72" s="64"/>
      <c r="D72" s="64"/>
      <c r="E72" s="65"/>
      <c r="F72" s="65"/>
      <c r="G72" s="65"/>
      <c r="H72" s="65"/>
      <c r="I72" s="75"/>
      <c r="J72" s="275"/>
      <c r="K72" s="357"/>
    </row>
    <row r="73" spans="2:11" ht="18.75" customHeight="1">
      <c r="B73" s="12"/>
      <c r="C73" s="64" t="s">
        <v>243</v>
      </c>
      <c r="D73" s="335" t="s">
        <v>244</v>
      </c>
      <c r="E73" s="335"/>
      <c r="F73" s="335"/>
      <c r="G73" s="335"/>
      <c r="H73" s="336"/>
      <c r="I73" s="74"/>
      <c r="J73" s="277"/>
      <c r="K73" s="357"/>
    </row>
    <row r="74" spans="2:11" ht="18.75" customHeight="1">
      <c r="B74" s="12"/>
      <c r="C74" s="67"/>
      <c r="D74" s="67" t="s">
        <v>152</v>
      </c>
      <c r="E74" s="68" t="s">
        <v>245</v>
      </c>
      <c r="F74" s="68"/>
      <c r="G74" s="68"/>
      <c r="H74" s="68"/>
      <c r="I74" s="75"/>
      <c r="J74" s="278" t="s">
        <v>137</v>
      </c>
      <c r="K74" s="15">
        <f>'INSUMOS - PREÇOS'!F62</f>
        <v>0</v>
      </c>
    </row>
    <row r="75" spans="2:11" ht="18.75" customHeight="1">
      <c r="B75" s="12"/>
      <c r="C75" s="67"/>
      <c r="D75" s="67" t="s">
        <v>195</v>
      </c>
      <c r="E75" s="315" t="s">
        <v>246</v>
      </c>
      <c r="F75" s="315"/>
      <c r="G75" s="315"/>
      <c r="H75" s="338"/>
      <c r="I75" s="75"/>
      <c r="J75" s="278" t="s">
        <v>137</v>
      </c>
      <c r="K75" s="15">
        <f>'INSUMOS - PREÇOS'!F63</f>
        <v>0</v>
      </c>
    </row>
    <row r="76" spans="2:11" ht="18.75" customHeight="1">
      <c r="B76" s="12"/>
      <c r="C76" s="67"/>
      <c r="D76" s="335" t="s">
        <v>247</v>
      </c>
      <c r="E76" s="335"/>
      <c r="F76" s="335"/>
      <c r="G76" s="335"/>
      <c r="H76" s="336"/>
      <c r="I76" s="75"/>
      <c r="J76" s="275"/>
      <c r="K76" s="357">
        <f>SUM(K74:K75)</f>
        <v>0</v>
      </c>
    </row>
    <row r="77" spans="2:11" ht="18.75" customHeight="1">
      <c r="B77" s="63"/>
      <c r="C77" s="64"/>
      <c r="D77" s="64"/>
      <c r="E77" s="65"/>
      <c r="F77" s="65"/>
      <c r="G77" s="65"/>
      <c r="H77" s="65"/>
      <c r="I77" s="75"/>
      <c r="J77" s="275"/>
      <c r="K77" s="357"/>
    </row>
    <row r="78" spans="2:11" ht="18.75" customHeight="1" thickBot="1">
      <c r="B78" s="12"/>
      <c r="C78" s="335" t="s">
        <v>248</v>
      </c>
      <c r="D78" s="335"/>
      <c r="E78" s="335"/>
      <c r="F78" s="335"/>
      <c r="G78" s="335"/>
      <c r="H78" s="335"/>
      <c r="I78" s="75"/>
      <c r="J78" s="275"/>
      <c r="K78" s="357">
        <f>SUM(K71+K76)</f>
        <v>2632938.7383034835</v>
      </c>
    </row>
    <row r="79" spans="2:11" ht="18.75" customHeight="1" thickBot="1">
      <c r="B79" s="6" t="s">
        <v>249</v>
      </c>
      <c r="C79" s="337" t="s">
        <v>250</v>
      </c>
      <c r="D79" s="337"/>
      <c r="E79" s="337"/>
      <c r="F79" s="337"/>
      <c r="G79" s="337"/>
      <c r="H79" s="337"/>
      <c r="I79" s="4" t="s">
        <v>57</v>
      </c>
      <c r="J79" s="4" t="s">
        <v>77</v>
      </c>
      <c r="K79" s="356"/>
    </row>
    <row r="80" spans="2:14" ht="18.75" customHeight="1">
      <c r="B80" s="12"/>
      <c r="C80" s="64" t="s">
        <v>251</v>
      </c>
      <c r="D80" s="335" t="s">
        <v>55</v>
      </c>
      <c r="E80" s="335"/>
      <c r="F80" s="335"/>
      <c r="G80" s="335"/>
      <c r="H80" s="336"/>
      <c r="I80" s="75"/>
      <c r="J80" s="275"/>
      <c r="K80" s="15"/>
      <c r="M80" s="59"/>
      <c r="N80" s="59"/>
    </row>
    <row r="81" spans="2:14" ht="18.75" customHeight="1">
      <c r="B81" s="12"/>
      <c r="C81" s="67"/>
      <c r="D81" s="67" t="s">
        <v>152</v>
      </c>
      <c r="E81" s="315" t="s">
        <v>111</v>
      </c>
      <c r="F81" s="315"/>
      <c r="G81" s="315"/>
      <c r="H81" s="338"/>
      <c r="I81" s="59"/>
      <c r="J81" s="59"/>
      <c r="K81" s="358"/>
      <c r="M81" s="59"/>
      <c r="N81" s="59"/>
    </row>
    <row r="82" spans="2:14" ht="18.75" customHeight="1">
      <c r="B82" s="12"/>
      <c r="C82" s="67"/>
      <c r="D82" s="67"/>
      <c r="E82" s="68" t="s">
        <v>154</v>
      </c>
      <c r="F82" s="315" t="str">
        <f>'INSUMOS - QUANTIDADES'!B100</f>
        <v>   Padrão</v>
      </c>
      <c r="G82" s="315"/>
      <c r="H82" s="338"/>
      <c r="I82" s="75">
        <f>('INSUMOS - QUANTIDADES'!D100*'INSUMOS - QUANTIDADES'!E100*'INSUMOS - QUANTIDADES'!F100)</f>
        <v>116800</v>
      </c>
      <c r="J82" s="275" t="s">
        <v>252</v>
      </c>
      <c r="K82" s="15">
        <f>(('INSUMOS - PREÇOS'!$F$24)/220)*$I$82</f>
        <v>557454.5454545454</v>
      </c>
      <c r="M82" s="59"/>
      <c r="N82" s="59"/>
    </row>
    <row r="83" spans="2:14" s="58" customFormat="1" ht="18.75" customHeight="1">
      <c r="B83" s="12"/>
      <c r="C83" s="67"/>
      <c r="D83" s="67"/>
      <c r="E83" s="68" t="s">
        <v>173</v>
      </c>
      <c r="F83" s="315" t="str">
        <f>'INSUMOS - QUANTIDADES'!B101</f>
        <v>   -</v>
      </c>
      <c r="G83" s="315"/>
      <c r="H83" s="338"/>
      <c r="I83" s="75">
        <f>('INSUMOS - QUANTIDADES'!D101*'INSUMOS - QUANTIDADES'!E101*'INSUMOS - QUANTIDADES'!F101)</f>
        <v>0</v>
      </c>
      <c r="J83" s="275" t="s">
        <v>252</v>
      </c>
      <c r="K83" s="15">
        <f>(('INSUMOS - PREÇOS'!F25)/220)*$I$83</f>
        <v>0</v>
      </c>
      <c r="M83" s="59"/>
      <c r="N83" s="59"/>
    </row>
    <row r="84" spans="2:14" s="58" customFormat="1" ht="18.75" customHeight="1">
      <c r="B84" s="12"/>
      <c r="C84" s="67"/>
      <c r="D84" s="67"/>
      <c r="E84" s="68" t="s">
        <v>183</v>
      </c>
      <c r="F84" s="315" t="str">
        <f>'INSUMOS - QUANTIDADES'!B102</f>
        <v>   -</v>
      </c>
      <c r="G84" s="315"/>
      <c r="H84" s="338"/>
      <c r="I84" s="75">
        <f>('INSUMOS - QUANTIDADES'!D102*'INSUMOS - QUANTIDADES'!E102*'INSUMOS - QUANTIDADES'!F102)</f>
        <v>0</v>
      </c>
      <c r="J84" s="275" t="s">
        <v>252</v>
      </c>
      <c r="K84" s="15">
        <f>(('INSUMOS - PREÇOS'!F26)/220)*$I$84</f>
        <v>0</v>
      </c>
      <c r="M84" s="1"/>
      <c r="N84" s="1"/>
    </row>
    <row r="85" spans="2:14" s="58" customFormat="1" ht="18.75" customHeight="1">
      <c r="B85" s="12"/>
      <c r="C85" s="67"/>
      <c r="D85" s="67"/>
      <c r="E85" s="68" t="s">
        <v>253</v>
      </c>
      <c r="F85" s="315" t="str">
        <f>'INSUMOS - QUANTIDADES'!B103</f>
        <v>   -</v>
      </c>
      <c r="G85" s="315"/>
      <c r="H85" s="338"/>
      <c r="I85" s="75">
        <f>('INSUMOS - QUANTIDADES'!D103*'INSUMOS - QUANTIDADES'!E103*'INSUMOS - QUANTIDADES'!F103)</f>
        <v>0</v>
      </c>
      <c r="J85" s="275" t="s">
        <v>252</v>
      </c>
      <c r="K85" s="15">
        <f>(('INSUMOS - PREÇOS'!F27)/220)*$I$85</f>
        <v>0</v>
      </c>
      <c r="M85" s="1"/>
      <c r="N85" s="1"/>
    </row>
    <row r="86" spans="2:14" s="58" customFormat="1" ht="18.75" customHeight="1">
      <c r="B86" s="12"/>
      <c r="C86" s="67"/>
      <c r="D86" s="67"/>
      <c r="E86" s="68" t="s">
        <v>254</v>
      </c>
      <c r="F86" s="315" t="str">
        <f>'INSUMOS - QUANTIDADES'!B104</f>
        <v>   -</v>
      </c>
      <c r="G86" s="315"/>
      <c r="H86" s="338"/>
      <c r="I86" s="75">
        <f>('INSUMOS - QUANTIDADES'!D104*'INSUMOS - QUANTIDADES'!E104*'INSUMOS - QUANTIDADES'!F104)</f>
        <v>0</v>
      </c>
      <c r="J86" s="275" t="s">
        <v>252</v>
      </c>
      <c r="K86" s="15">
        <f>(('INSUMOS - PREÇOS'!F28)/220)*$I$86</f>
        <v>0</v>
      </c>
      <c r="M86" s="1"/>
      <c r="N86" s="1"/>
    </row>
    <row r="87" spans="2:14" s="58" customFormat="1" ht="18.75" customHeight="1">
      <c r="B87" s="12"/>
      <c r="C87" s="67"/>
      <c r="D87" s="67" t="s">
        <v>195</v>
      </c>
      <c r="E87" s="315" t="s">
        <v>255</v>
      </c>
      <c r="F87" s="315"/>
      <c r="G87" s="315"/>
      <c r="H87" s="338"/>
      <c r="I87" s="103"/>
      <c r="J87" s="103"/>
      <c r="K87" s="359"/>
      <c r="M87" s="1"/>
      <c r="N87" s="1"/>
    </row>
    <row r="88" spans="2:14" s="58" customFormat="1" ht="18.75" customHeight="1">
      <c r="B88" s="12"/>
      <c r="C88" s="67"/>
      <c r="D88" s="67"/>
      <c r="E88" s="68" t="s">
        <v>198</v>
      </c>
      <c r="F88" s="315" t="str">
        <f>'INSUMOS - QUANTIDADES'!B106</f>
        <v>   Veterinário</v>
      </c>
      <c r="G88" s="315"/>
      <c r="H88" s="338"/>
      <c r="I88" s="75">
        <f>('INSUMOS - QUANTIDADES'!D106*'INSUMOS - QUANTIDADES'!E106*'INSUMOS - QUANTIDADES'!F106)</f>
        <v>0</v>
      </c>
      <c r="J88" s="275" t="s">
        <v>252</v>
      </c>
      <c r="K88" s="15">
        <f>(('INSUMOS - PREÇOS'!F30)/8)*$I$88</f>
        <v>0</v>
      </c>
      <c r="M88" s="1"/>
      <c r="N88" s="1"/>
    </row>
    <row r="89" spans="2:11" ht="18.75" customHeight="1">
      <c r="B89" s="12"/>
      <c r="C89" s="67"/>
      <c r="D89" s="67"/>
      <c r="E89" s="68" t="s">
        <v>212</v>
      </c>
      <c r="F89" s="315" t="str">
        <f>'INSUMOS - QUANTIDADES'!B107</f>
        <v>   -</v>
      </c>
      <c r="G89" s="315"/>
      <c r="H89" s="338"/>
      <c r="I89" s="75">
        <f>('INSUMOS - QUANTIDADES'!D107*'INSUMOS - QUANTIDADES'!E107*'INSUMOS - QUANTIDADES'!F107)</f>
        <v>0</v>
      </c>
      <c r="J89" s="275" t="s">
        <v>252</v>
      </c>
      <c r="K89" s="15">
        <f>(('INSUMOS - PREÇOS'!F31)/8)*$I$89</f>
        <v>0</v>
      </c>
    </row>
    <row r="90" spans="2:11" ht="18.75" customHeight="1">
      <c r="B90" s="12"/>
      <c r="C90" s="67"/>
      <c r="D90" s="67"/>
      <c r="E90" s="68" t="s">
        <v>222</v>
      </c>
      <c r="F90" s="315" t="str">
        <f>'INSUMOS - QUANTIDADES'!B108</f>
        <v>   -</v>
      </c>
      <c r="G90" s="315"/>
      <c r="H90" s="338"/>
      <c r="I90" s="75">
        <f>('INSUMOS - QUANTIDADES'!D108*'INSUMOS - QUANTIDADES'!E108*'INSUMOS - QUANTIDADES'!F108)</f>
        <v>0</v>
      </c>
      <c r="J90" s="275" t="s">
        <v>252</v>
      </c>
      <c r="K90" s="15">
        <f>(('INSUMOS - PREÇOS'!F32)/8)*$I$90</f>
        <v>0</v>
      </c>
    </row>
    <row r="91" spans="2:11" ht="18.75" customHeight="1">
      <c r="B91" s="12"/>
      <c r="C91" s="67"/>
      <c r="D91" s="67"/>
      <c r="E91" s="68" t="s">
        <v>256</v>
      </c>
      <c r="F91" s="315" t="str">
        <f>'INSUMOS - QUANTIDADES'!B109</f>
        <v>   -</v>
      </c>
      <c r="G91" s="315"/>
      <c r="H91" s="338"/>
      <c r="I91" s="75">
        <f>('INSUMOS - QUANTIDADES'!D109*'INSUMOS - QUANTIDADES'!E109*'INSUMOS - QUANTIDADES'!F109)</f>
        <v>0</v>
      </c>
      <c r="J91" s="275" t="s">
        <v>252</v>
      </c>
      <c r="K91" s="15">
        <f>(('INSUMOS - PREÇOS'!F33)/8)*$I$91</f>
        <v>0</v>
      </c>
    </row>
    <row r="92" spans="2:14" s="59" customFormat="1" ht="18.75" customHeight="1">
      <c r="B92" s="12"/>
      <c r="C92" s="67"/>
      <c r="D92" s="67"/>
      <c r="E92" s="68" t="s">
        <v>257</v>
      </c>
      <c r="F92" s="315" t="str">
        <f>'INSUMOS - QUANTIDADES'!B110</f>
        <v>   - </v>
      </c>
      <c r="G92" s="315"/>
      <c r="H92" s="338"/>
      <c r="I92" s="75">
        <f>('INSUMOS - QUANTIDADES'!D110*'INSUMOS - QUANTIDADES'!E110*'INSUMOS - QUANTIDADES'!F110)</f>
        <v>0</v>
      </c>
      <c r="J92" s="275" t="s">
        <v>252</v>
      </c>
      <c r="K92" s="15">
        <f>(('INSUMOS - PREÇOS'!F34)/8)*$I$92</f>
        <v>0</v>
      </c>
      <c r="M92" s="1"/>
      <c r="N92" s="1"/>
    </row>
    <row r="93" spans="2:14" s="59" customFormat="1" ht="18.75" customHeight="1">
      <c r="B93" s="12"/>
      <c r="C93" s="67"/>
      <c r="D93" s="335" t="s">
        <v>258</v>
      </c>
      <c r="E93" s="335"/>
      <c r="F93" s="335"/>
      <c r="G93" s="335"/>
      <c r="H93" s="336"/>
      <c r="I93" s="75"/>
      <c r="J93" s="275"/>
      <c r="K93" s="357">
        <f>SUM(K82:K92)</f>
        <v>557454.5454545454</v>
      </c>
      <c r="M93" s="1"/>
      <c r="N93" s="1"/>
    </row>
    <row r="94" spans="2:11" ht="18.75" customHeight="1">
      <c r="B94" s="12"/>
      <c r="C94" s="67"/>
      <c r="D94" s="65"/>
      <c r="E94" s="65"/>
      <c r="F94" s="65"/>
      <c r="G94" s="65"/>
      <c r="H94" s="66"/>
      <c r="I94" s="75"/>
      <c r="J94" s="275"/>
      <c r="K94" s="357"/>
    </row>
    <row r="95" spans="2:14" ht="18.75" customHeight="1">
      <c r="B95" s="12"/>
      <c r="C95" s="64" t="s">
        <v>259</v>
      </c>
      <c r="D95" s="335" t="s">
        <v>92</v>
      </c>
      <c r="E95" s="335"/>
      <c r="F95" s="335"/>
      <c r="G95" s="335"/>
      <c r="H95" s="336"/>
      <c r="I95" s="75"/>
      <c r="J95" s="275"/>
      <c r="K95" s="15"/>
      <c r="M95" s="58"/>
      <c r="N95" s="58"/>
    </row>
    <row r="96" spans="2:14" ht="18.75" customHeight="1">
      <c r="B96" s="12"/>
      <c r="C96" s="67"/>
      <c r="D96" s="67" t="s">
        <v>152</v>
      </c>
      <c r="E96" s="315" t="s">
        <v>260</v>
      </c>
      <c r="F96" s="315"/>
      <c r="G96" s="315"/>
      <c r="H96" s="338"/>
      <c r="I96" s="104">
        <f>'INSUMOS - QUANTIDADES'!F150*12</f>
        <v>0</v>
      </c>
      <c r="J96" s="275" t="s">
        <v>261</v>
      </c>
      <c r="K96" s="15">
        <f>$I$96*'INSUMOS - PREÇOS'!F36</f>
        <v>0</v>
      </c>
      <c r="M96" s="58"/>
      <c r="N96" s="58"/>
    </row>
    <row r="97" spans="2:14" ht="18.75" customHeight="1">
      <c r="B97" s="12"/>
      <c r="C97" s="67"/>
      <c r="D97" s="67" t="s">
        <v>195</v>
      </c>
      <c r="E97" s="315" t="s">
        <v>96</v>
      </c>
      <c r="F97" s="315"/>
      <c r="G97" s="315"/>
      <c r="H97" s="338"/>
      <c r="I97" s="104">
        <f>'INSUMOS - QUANTIDADES'!F151*12</f>
        <v>1800</v>
      </c>
      <c r="J97" s="275" t="s">
        <v>262</v>
      </c>
      <c r="K97" s="15">
        <f>($I$97*'INSUMOS - PREÇOS'!F37)</f>
        <v>388.026</v>
      </c>
      <c r="M97" s="58"/>
      <c r="N97" s="58"/>
    </row>
    <row r="98" spans="2:14" ht="18.75" customHeight="1">
      <c r="B98" s="12"/>
      <c r="C98" s="67"/>
      <c r="D98" s="335" t="s">
        <v>263</v>
      </c>
      <c r="E98" s="335"/>
      <c r="F98" s="335"/>
      <c r="G98" s="335"/>
      <c r="H98" s="336"/>
      <c r="I98" s="75"/>
      <c r="J98" s="275"/>
      <c r="K98" s="357">
        <f>SUM(K96:K97)</f>
        <v>388.026</v>
      </c>
      <c r="M98" s="58"/>
      <c r="N98" s="58"/>
    </row>
    <row r="99" spans="2:14" ht="18.75" customHeight="1">
      <c r="B99" s="12"/>
      <c r="C99" s="67"/>
      <c r="D99" s="67"/>
      <c r="E99" s="67"/>
      <c r="F99" s="68"/>
      <c r="G99" s="68"/>
      <c r="H99" s="68"/>
      <c r="I99" s="75"/>
      <c r="J99" s="275"/>
      <c r="K99" s="15"/>
      <c r="M99" s="58"/>
      <c r="N99" s="58"/>
    </row>
    <row r="100" spans="2:14" ht="18.75" customHeight="1">
      <c r="B100" s="12"/>
      <c r="C100" s="64" t="s">
        <v>264</v>
      </c>
      <c r="D100" s="335" t="s">
        <v>265</v>
      </c>
      <c r="E100" s="335"/>
      <c r="F100" s="335"/>
      <c r="G100" s="335"/>
      <c r="H100" s="335"/>
      <c r="I100" s="74"/>
      <c r="J100" s="277"/>
      <c r="K100" s="357"/>
      <c r="M100" s="58"/>
      <c r="N100" s="58"/>
    </row>
    <row r="101" spans="2:14" ht="18.75" customHeight="1">
      <c r="B101" s="12"/>
      <c r="C101" s="67"/>
      <c r="D101" s="67" t="s">
        <v>152</v>
      </c>
      <c r="E101" s="315" t="s">
        <v>266</v>
      </c>
      <c r="F101" s="315"/>
      <c r="G101" s="315"/>
      <c r="H101" s="315"/>
      <c r="I101" s="105"/>
      <c r="J101" s="59"/>
      <c r="K101" s="358"/>
      <c r="M101" s="58"/>
      <c r="N101" s="58"/>
    </row>
    <row r="102" spans="2:14" ht="18.75" customHeight="1">
      <c r="B102" s="12"/>
      <c r="C102" s="67"/>
      <c r="D102" s="67"/>
      <c r="E102" s="68" t="s">
        <v>154</v>
      </c>
      <c r="F102" s="315" t="str">
        <f>'INSUMOS - QUANTIDADES'!B117</f>
        <v>Instalação gestação</v>
      </c>
      <c r="G102" s="315"/>
      <c r="H102" s="338"/>
      <c r="I102" s="80">
        <f>'INSUMOS - QUANTIDADES'!E117</f>
        <v>1068.9896837856022</v>
      </c>
      <c r="J102" s="275" t="s">
        <v>267</v>
      </c>
      <c r="K102" s="15">
        <f>-(I102*(('INSUMOS - QUANTIDADES'!$F$132-'INSUMOS - PREÇOS'!F8)/'INSUMOS - QUANTIDADES'!$D$132))</f>
        <v>37261.77340771473</v>
      </c>
      <c r="M102" s="58"/>
      <c r="N102" s="58"/>
    </row>
    <row r="103" spans="2:11" ht="18.75" customHeight="1">
      <c r="B103" s="12"/>
      <c r="C103" s="67"/>
      <c r="D103" s="67"/>
      <c r="E103" s="68" t="s">
        <v>173</v>
      </c>
      <c r="F103" s="315" t="str">
        <f>'INSUMOS - QUANTIDADES'!B118</f>
        <v>Instalação maternidade</v>
      </c>
      <c r="G103" s="315"/>
      <c r="H103" s="338"/>
      <c r="I103" s="80">
        <f>'INSUMOS - QUANTIDADES'!E118</f>
        <v>1080.5113254092846</v>
      </c>
      <c r="J103" s="275" t="s">
        <v>267</v>
      </c>
      <c r="K103" s="15">
        <f>-(I103*(('INSUMOS - QUANTIDADES'!$F$132-'INSUMOS - PREÇOS'!F9)/'INSUMOS - QUANTIDADES'!$D$132))</f>
        <v>37663.38326979143</v>
      </c>
    </row>
    <row r="104" spans="2:11" ht="18.75" customHeight="1">
      <c r="B104" s="12"/>
      <c r="C104" s="67"/>
      <c r="D104" s="67"/>
      <c r="E104" s="68" t="s">
        <v>183</v>
      </c>
      <c r="F104" s="315" t="str">
        <f>'INSUMOS - QUANTIDADES'!B119</f>
        <v>Instalação creche</v>
      </c>
      <c r="G104" s="315"/>
      <c r="H104" s="338"/>
      <c r="I104" s="80">
        <f>'INSUMOS - QUANTIDADES'!E119</f>
        <v>1100.7709127607086</v>
      </c>
      <c r="J104" s="275" t="s">
        <v>267</v>
      </c>
      <c r="K104" s="15">
        <f>-(I104*(('INSUMOS - QUANTIDADES'!$F$132-'INSUMOS - PREÇOS'!F10)/'INSUMOS - QUANTIDADES'!$D$132))</f>
        <v>38369.57170610002</v>
      </c>
    </row>
    <row r="105" spans="2:11" ht="18.75" customHeight="1">
      <c r="B105" s="12"/>
      <c r="C105" s="67"/>
      <c r="D105" s="67"/>
      <c r="E105" s="68" t="s">
        <v>253</v>
      </c>
      <c r="F105" s="315" t="str">
        <f>'INSUMOS - QUANTIDADES'!B120</f>
        <v>Instalação cachaços</v>
      </c>
      <c r="G105" s="315"/>
      <c r="H105" s="338"/>
      <c r="I105" s="80">
        <f>'INSUMOS - QUANTIDADES'!E120</f>
        <v>66.66666666666667</v>
      </c>
      <c r="J105" s="275" t="s">
        <v>267</v>
      </c>
      <c r="K105" s="15">
        <f>-(I105*(('INSUMOS - QUANTIDADES'!$F$132-'INSUMOS - PREÇOS'!F11)/'INSUMOS - QUANTIDADES'!$D$132))</f>
        <v>2323.8</v>
      </c>
    </row>
    <row r="106" spans="2:11" ht="18.75" customHeight="1">
      <c r="B106" s="63"/>
      <c r="C106" s="67"/>
      <c r="D106" s="67" t="s">
        <v>195</v>
      </c>
      <c r="E106" s="315" t="s">
        <v>268</v>
      </c>
      <c r="F106" s="315"/>
      <c r="G106" s="315"/>
      <c r="H106" s="315"/>
      <c r="I106" s="75"/>
      <c r="J106" s="275"/>
      <c r="K106" s="15"/>
    </row>
    <row r="107" spans="2:11" ht="18.75" customHeight="1">
      <c r="B107" s="12"/>
      <c r="C107" s="67"/>
      <c r="D107" s="67"/>
      <c r="E107" s="101" t="s">
        <v>198</v>
      </c>
      <c r="F107" s="340" t="str">
        <f>'INSUMOS - QUANTIDADES'!B126</f>
        <v>Alimentador automático gestação</v>
      </c>
      <c r="G107" s="340"/>
      <c r="H107" s="341"/>
      <c r="I107" s="106">
        <f>'INSUMOS - QUANTIDADES'!C126</f>
        <v>4.502130522538685</v>
      </c>
      <c r="J107" s="275" t="s">
        <v>269</v>
      </c>
      <c r="K107" s="15">
        <f>I107*(('INSUMOS - PREÇOS'!F13-'INSUMOS - QUANTIDADES'!F126)/'INSUMOS - QUANTIDADES'!D126)</f>
        <v>3601.7044180309485</v>
      </c>
    </row>
    <row r="108" spans="2:11" ht="18.75" customHeight="1">
      <c r="B108" s="12"/>
      <c r="C108" s="67"/>
      <c r="D108" s="67"/>
      <c r="E108" s="101" t="s">
        <v>212</v>
      </c>
      <c r="F108" s="340" t="str">
        <f>'INSUMOS - QUANTIDADES'!B127</f>
        <v>Alimentador creche</v>
      </c>
      <c r="G108" s="340"/>
      <c r="H108" s="341"/>
      <c r="I108" s="106">
        <f>'INSUMOS - QUANTIDADES'!C127</f>
        <v>112.55326306346714</v>
      </c>
      <c r="J108" s="275" t="s">
        <v>269</v>
      </c>
      <c r="K108" s="15">
        <f>I108*(('INSUMOS - PREÇOS'!F14-'INSUMOS - QUANTIDADES'!F127)/'INSUMOS - QUANTIDADES'!D127)</f>
        <v>967.9580623458173</v>
      </c>
    </row>
    <row r="109" spans="2:11" ht="18.75" customHeight="1">
      <c r="B109" s="12"/>
      <c r="C109" s="67"/>
      <c r="D109" s="67"/>
      <c r="E109" s="101" t="s">
        <v>222</v>
      </c>
      <c r="F109" s="340" t="str">
        <f>'INSUMOS - QUANTIDADES'!B128</f>
        <v>Brinco eletrônico</v>
      </c>
      <c r="G109" s="340"/>
      <c r="H109" s="341"/>
      <c r="I109" s="106">
        <f>'INSUMOS - QUANTIDADES'!C128</f>
        <v>1000</v>
      </c>
      <c r="J109" s="275" t="s">
        <v>269</v>
      </c>
      <c r="K109" s="15">
        <f>I109*(('INSUMOS - PREÇOS'!F15-'INSUMOS - QUANTIDADES'!F128)/'INSUMOS - QUANTIDADES'!D128)</f>
        <v>1000</v>
      </c>
    </row>
    <row r="110" spans="2:11" ht="18.75" customHeight="1">
      <c r="B110" s="12"/>
      <c r="C110" s="67"/>
      <c r="D110" s="67"/>
      <c r="E110" s="101" t="s">
        <v>256</v>
      </c>
      <c r="F110" s="340" t="str">
        <f>'INSUMOS - QUANTIDADES'!B129</f>
        <v>Gaiolas maternidade</v>
      </c>
      <c r="G110" s="340"/>
      <c r="H110" s="341"/>
      <c r="I110" s="106">
        <f>'INSUMOS - QUANTIDADES'!C129</f>
        <v>225.10652612693428</v>
      </c>
      <c r="J110" s="275" t="s">
        <v>269</v>
      </c>
      <c r="K110" s="15">
        <f>I110*(('INSUMOS - PREÇOS'!F16-'INSUMOS - QUANTIDADES'!F129)/'INSUMOS - QUANTIDADES'!D129)</f>
        <v>16657.882933393135</v>
      </c>
    </row>
    <row r="111" spans="2:11" ht="18.75" customHeight="1">
      <c r="B111" s="12"/>
      <c r="C111" s="67"/>
      <c r="D111" s="67"/>
      <c r="E111" s="101" t="s">
        <v>257</v>
      </c>
      <c r="F111" s="340" t="str">
        <f>'INSUMOS - QUANTIDADES'!B130</f>
        <v>Gaiolas gestação</v>
      </c>
      <c r="G111" s="340"/>
      <c r="H111" s="341"/>
      <c r="I111" s="106">
        <f>'INSUMOS - QUANTIDADES'!C130</f>
        <v>225.10652612693428</v>
      </c>
      <c r="J111" s="275" t="s">
        <v>269</v>
      </c>
      <c r="K111" s="15">
        <f>I111*(('INSUMOS - PREÇOS'!F17-'INSUMOS - QUANTIDADES'!F130)/'INSUMOS - QUANTIDADES'!D130)</f>
        <v>1008.4772370486656</v>
      </c>
    </row>
    <row r="112" spans="2:11" ht="18.75" customHeight="1">
      <c r="B112" s="12"/>
      <c r="C112" s="67"/>
      <c r="D112" s="67"/>
      <c r="E112" s="101" t="s">
        <v>270</v>
      </c>
      <c r="F112" s="340">
        <f>'INSUMOS - QUANTIDADES'!B131</f>
        <v>0</v>
      </c>
      <c r="G112" s="340"/>
      <c r="H112" s="341"/>
      <c r="I112" s="106">
        <f>'INSUMOS - QUANTIDADES'!C131</f>
        <v>0</v>
      </c>
      <c r="J112" s="275" t="s">
        <v>269</v>
      </c>
      <c r="K112" s="15">
        <f>I112*(('INSUMOS - PREÇOS'!F18-'INSUMOS - QUANTIDADES'!F131)/'INSUMOS - QUANTIDADES'!D131)</f>
        <v>0</v>
      </c>
    </row>
    <row r="113" spans="2:11" ht="18.75" customHeight="1">
      <c r="B113" s="12"/>
      <c r="C113" s="67"/>
      <c r="D113" s="67" t="s">
        <v>233</v>
      </c>
      <c r="E113" s="315" t="s">
        <v>30</v>
      </c>
      <c r="F113" s="315"/>
      <c r="G113" s="315"/>
      <c r="H113" s="315"/>
      <c r="I113" s="97">
        <f>'INSUMOS - QUANTIDADES'!D134</f>
        <v>36</v>
      </c>
      <c r="J113" s="275" t="s">
        <v>271</v>
      </c>
      <c r="K113" s="15">
        <f>(((1/$I$113))*('INSUMOS - PREÇOS'!F21-'INSUMOS - QUANTIDADES'!$F$134))*$N$10</f>
        <v>0</v>
      </c>
    </row>
    <row r="114" spans="2:11" ht="18.75" customHeight="1">
      <c r="B114" s="12"/>
      <c r="C114" s="67"/>
      <c r="D114" s="67" t="s">
        <v>236</v>
      </c>
      <c r="E114" s="315" t="s">
        <v>272</v>
      </c>
      <c r="F114" s="315"/>
      <c r="G114" s="315"/>
      <c r="H114" s="338"/>
      <c r="I114" s="97">
        <f>'INSUMOS - QUANTIDADES'!D135</f>
        <v>72</v>
      </c>
      <c r="J114" s="275" t="s">
        <v>271</v>
      </c>
      <c r="K114" s="15">
        <f>(((1/$I$114))*('INSUMOS - PREÇOS'!F22-'INSUMOS - QUANTIDADES'!$F$135))*$N$13</f>
        <v>1534.722222222222</v>
      </c>
    </row>
    <row r="115" spans="2:11" ht="18.75" customHeight="1">
      <c r="B115" s="12"/>
      <c r="C115" s="67"/>
      <c r="D115" s="335" t="s">
        <v>273</v>
      </c>
      <c r="E115" s="335"/>
      <c r="F115" s="335"/>
      <c r="G115" s="335"/>
      <c r="H115" s="336"/>
      <c r="I115" s="75"/>
      <c r="J115" s="275"/>
      <c r="K115" s="357">
        <f>SUM(K102:K114)</f>
        <v>140389.27325664696</v>
      </c>
    </row>
    <row r="116" spans="2:11" ht="18.75" customHeight="1">
      <c r="B116" s="12"/>
      <c r="C116" s="64"/>
      <c r="D116" s="64"/>
      <c r="E116" s="65"/>
      <c r="F116" s="65"/>
      <c r="G116" s="65"/>
      <c r="H116" s="65"/>
      <c r="I116" s="75"/>
      <c r="J116" s="275"/>
      <c r="K116" s="357"/>
    </row>
    <row r="117" spans="2:11" ht="18.75" customHeight="1">
      <c r="B117" s="12"/>
      <c r="C117" s="64" t="s">
        <v>274</v>
      </c>
      <c r="D117" s="335" t="s">
        <v>275</v>
      </c>
      <c r="E117" s="335"/>
      <c r="F117" s="335"/>
      <c r="G117" s="335"/>
      <c r="H117" s="335"/>
      <c r="I117" s="74"/>
      <c r="J117" s="277"/>
      <c r="K117" s="357"/>
    </row>
    <row r="118" spans="2:11" ht="18.75" customHeight="1">
      <c r="B118" s="12"/>
      <c r="C118" s="67"/>
      <c r="D118" s="67" t="s">
        <v>152</v>
      </c>
      <c r="E118" s="340" t="s">
        <v>276</v>
      </c>
      <c r="F118" s="340"/>
      <c r="G118" s="340"/>
      <c r="H118" s="340"/>
      <c r="I118" s="107"/>
      <c r="J118" s="279"/>
      <c r="K118" s="15"/>
    </row>
    <row r="119" spans="2:11" ht="18.75" customHeight="1">
      <c r="B119" s="12"/>
      <c r="C119" s="67"/>
      <c r="D119" s="67"/>
      <c r="E119" s="101" t="s">
        <v>154</v>
      </c>
      <c r="F119" s="340" t="str">
        <f>'INSUMOS - QUANTIDADES'!B126</f>
        <v>Alimentador automático gestação</v>
      </c>
      <c r="G119" s="340"/>
      <c r="H119" s="341"/>
      <c r="I119" s="108">
        <f aca="true" t="shared" si="0" ref="I119:I124">I107</f>
        <v>4.502130522538685</v>
      </c>
      <c r="J119" s="109" t="s">
        <v>269</v>
      </c>
      <c r="K119" s="15">
        <f>(I119*('INSUMOS - PREÇOS'!F13/'INSUMOS - QUANTIDADES'!D126))*'INSUMOS - QUANTIDADES'!$E$141</f>
        <v>540.2556627046423</v>
      </c>
    </row>
    <row r="120" spans="2:11" ht="18.75" customHeight="1">
      <c r="B120" s="12"/>
      <c r="C120" s="67"/>
      <c r="D120" s="67"/>
      <c r="E120" s="101" t="s">
        <v>173</v>
      </c>
      <c r="F120" s="340" t="str">
        <f>'INSUMOS - QUANTIDADES'!B127</f>
        <v>Alimentador creche</v>
      </c>
      <c r="G120" s="340"/>
      <c r="H120" s="341"/>
      <c r="I120" s="108">
        <f t="shared" si="0"/>
        <v>112.55326306346714</v>
      </c>
      <c r="J120" s="109" t="s">
        <v>269</v>
      </c>
      <c r="K120" s="15">
        <f>(I120*('INSUMOS - PREÇOS'!F14/'INSUMOS - QUANTIDADES'!D127))*'INSUMOS - QUANTIDADES'!$E$141</f>
        <v>145.1937093518726</v>
      </c>
    </row>
    <row r="121" spans="2:11" ht="18.75" customHeight="1">
      <c r="B121" s="12"/>
      <c r="C121" s="67"/>
      <c r="D121" s="67"/>
      <c r="E121" s="101" t="s">
        <v>183</v>
      </c>
      <c r="F121" s="340" t="str">
        <f>'INSUMOS - QUANTIDADES'!B128</f>
        <v>Brinco eletrônico</v>
      </c>
      <c r="G121" s="340"/>
      <c r="H121" s="341"/>
      <c r="I121" s="108">
        <f t="shared" si="0"/>
        <v>1000</v>
      </c>
      <c r="J121" s="109" t="s">
        <v>269</v>
      </c>
      <c r="K121" s="15">
        <f>(I121*('INSUMOS - PREÇOS'!F15/'INSUMOS - QUANTIDADES'!D128))*'INSUMOS - QUANTIDADES'!$E$141</f>
        <v>150</v>
      </c>
    </row>
    <row r="122" spans="2:11" ht="18.75" customHeight="1">
      <c r="B122" s="12"/>
      <c r="C122" s="67"/>
      <c r="D122" s="67"/>
      <c r="E122" s="101" t="s">
        <v>253</v>
      </c>
      <c r="F122" s="340" t="str">
        <f>'INSUMOS - QUANTIDADES'!B129</f>
        <v>Gaiolas maternidade</v>
      </c>
      <c r="G122" s="340"/>
      <c r="H122" s="341"/>
      <c r="I122" s="108">
        <f t="shared" si="0"/>
        <v>225.10652612693428</v>
      </c>
      <c r="J122" s="109" t="s">
        <v>269</v>
      </c>
      <c r="K122" s="15">
        <f>(I122*('INSUMOS - PREÇOS'!F16/'INSUMOS - QUANTIDADES'!D129))*'INSUMOS - QUANTIDADES'!$E$141</f>
        <v>2498.6824400089704</v>
      </c>
    </row>
    <row r="123" spans="2:11" ht="18.75" customHeight="1">
      <c r="B123" s="12"/>
      <c r="C123" s="67"/>
      <c r="D123" s="67"/>
      <c r="E123" s="101" t="s">
        <v>254</v>
      </c>
      <c r="F123" s="340" t="str">
        <f>'INSUMOS - QUANTIDADES'!B130</f>
        <v>Gaiolas gestação</v>
      </c>
      <c r="G123" s="340"/>
      <c r="H123" s="341"/>
      <c r="I123" s="108">
        <f t="shared" si="0"/>
        <v>225.10652612693428</v>
      </c>
      <c r="J123" s="109" t="s">
        <v>269</v>
      </c>
      <c r="K123" s="15">
        <f>(I123*('INSUMOS - PREÇOS'!F17/'INSUMOS - QUANTIDADES'!D130))*'INSUMOS - QUANTIDADES'!$E$141</f>
        <v>151.27158555729983</v>
      </c>
    </row>
    <row r="124" spans="2:11" ht="18.75" customHeight="1">
      <c r="B124" s="12"/>
      <c r="C124" s="67"/>
      <c r="D124" s="67"/>
      <c r="E124" s="101" t="s">
        <v>277</v>
      </c>
      <c r="F124" s="340">
        <f>'INSUMOS - QUANTIDADES'!B131</f>
        <v>0</v>
      </c>
      <c r="G124" s="340"/>
      <c r="H124" s="341"/>
      <c r="I124" s="108">
        <f t="shared" si="0"/>
        <v>0</v>
      </c>
      <c r="J124" s="109" t="s">
        <v>269</v>
      </c>
      <c r="K124" s="15">
        <f>(I124*('INSUMOS - PREÇOS'!F18/'INSUMOS - QUANTIDADES'!D131))*'INSUMOS - QUANTIDADES'!$E$141</f>
        <v>0</v>
      </c>
    </row>
    <row r="125" spans="2:13" ht="18.75" customHeight="1">
      <c r="B125" s="12"/>
      <c r="C125" s="67"/>
      <c r="D125" s="67" t="s">
        <v>195</v>
      </c>
      <c r="E125" s="315" t="s">
        <v>278</v>
      </c>
      <c r="F125" s="315"/>
      <c r="G125" s="315"/>
      <c r="H125" s="338"/>
      <c r="I125" s="103"/>
      <c r="J125" s="103"/>
      <c r="K125" s="359"/>
      <c r="M125" s="110"/>
    </row>
    <row r="126" spans="2:11" ht="18.75" customHeight="1">
      <c r="B126" s="12"/>
      <c r="C126" s="67"/>
      <c r="D126" s="67"/>
      <c r="E126" s="68" t="s">
        <v>198</v>
      </c>
      <c r="F126" s="315" t="str">
        <f>'INSUMOS - QUANTIDADES'!B117</f>
        <v>Instalação gestação</v>
      </c>
      <c r="G126" s="315"/>
      <c r="H126" s="338"/>
      <c r="I126" s="111">
        <f>I102</f>
        <v>1068.9896837856022</v>
      </c>
      <c r="J126" s="275" t="s">
        <v>267</v>
      </c>
      <c r="K126" s="15">
        <f>((I126*'INSUMOS - PREÇOS'!F8)/'INSUMOS - QUANTIDADES'!$D$132)*'INSUMOS - QUANTIDADES'!$E$142</f>
        <v>3726.177340771474</v>
      </c>
    </row>
    <row r="127" spans="2:11" ht="18.75" customHeight="1">
      <c r="B127" s="12"/>
      <c r="C127" s="67"/>
      <c r="D127" s="67"/>
      <c r="E127" s="68" t="s">
        <v>212</v>
      </c>
      <c r="F127" s="315" t="str">
        <f>'INSUMOS - QUANTIDADES'!B118</f>
        <v>Instalação maternidade</v>
      </c>
      <c r="G127" s="315"/>
      <c r="H127" s="338"/>
      <c r="I127" s="111">
        <f>I103</f>
        <v>1080.5113254092846</v>
      </c>
      <c r="J127" s="275" t="s">
        <v>267</v>
      </c>
      <c r="K127" s="15">
        <f>((I127*'INSUMOS - PREÇOS'!F9)/'INSUMOS - QUANTIDADES'!$D$132)*'INSUMOS - QUANTIDADES'!$E$142</f>
        <v>3766.3383269791434</v>
      </c>
    </row>
    <row r="128" spans="2:11" ht="18.75" customHeight="1">
      <c r="B128" s="12"/>
      <c r="C128" s="67"/>
      <c r="D128" s="67"/>
      <c r="E128" s="68" t="s">
        <v>222</v>
      </c>
      <c r="F128" s="315" t="str">
        <f>'INSUMOS - QUANTIDADES'!B119</f>
        <v>Instalação creche</v>
      </c>
      <c r="G128" s="315"/>
      <c r="H128" s="338"/>
      <c r="I128" s="111">
        <f>I104</f>
        <v>1100.7709127607086</v>
      </c>
      <c r="J128" s="275" t="s">
        <v>267</v>
      </c>
      <c r="K128" s="15">
        <f>((I128*'INSUMOS - PREÇOS'!F10)/'INSUMOS - QUANTIDADES'!$D$132)*'INSUMOS - QUANTIDADES'!$E$142</f>
        <v>3836.957170610002</v>
      </c>
    </row>
    <row r="129" spans="2:11" ht="18.75" customHeight="1">
      <c r="B129" s="12"/>
      <c r="C129" s="67"/>
      <c r="D129" s="67"/>
      <c r="E129" s="68" t="s">
        <v>256</v>
      </c>
      <c r="F129" s="315" t="str">
        <f>'INSUMOS - QUANTIDADES'!B120</f>
        <v>Instalação cachaços</v>
      </c>
      <c r="G129" s="315"/>
      <c r="H129" s="338"/>
      <c r="I129" s="111">
        <f>I105</f>
        <v>66.66666666666667</v>
      </c>
      <c r="J129" s="275" t="s">
        <v>267</v>
      </c>
      <c r="K129" s="15">
        <f>((I129*'INSUMOS - PREÇOS'!F11)/'INSUMOS - QUANTIDADES'!$D$132)*'INSUMOS - QUANTIDADES'!$E$142</f>
        <v>232.38000000000002</v>
      </c>
    </row>
    <row r="130" spans="2:11" ht="18.75" customHeight="1">
      <c r="B130" s="12"/>
      <c r="C130" s="67"/>
      <c r="D130" s="335" t="s">
        <v>279</v>
      </c>
      <c r="E130" s="335"/>
      <c r="F130" s="335"/>
      <c r="G130" s="335"/>
      <c r="H130" s="336"/>
      <c r="I130" s="75"/>
      <c r="J130" s="275"/>
      <c r="K130" s="357">
        <f>SUM(K119:K129)</f>
        <v>15047.256235983403</v>
      </c>
    </row>
    <row r="131" spans="2:11" ht="18.75" customHeight="1">
      <c r="B131" s="12"/>
      <c r="C131" s="67"/>
      <c r="D131" s="67"/>
      <c r="E131" s="101"/>
      <c r="F131" s="101"/>
      <c r="G131" s="101"/>
      <c r="H131" s="101"/>
      <c r="I131" s="107"/>
      <c r="J131" s="275"/>
      <c r="K131" s="15"/>
    </row>
    <row r="132" spans="2:14" ht="18.75" customHeight="1">
      <c r="B132" s="12"/>
      <c r="C132" s="64" t="s">
        <v>280</v>
      </c>
      <c r="D132" s="335" t="s">
        <v>281</v>
      </c>
      <c r="E132" s="335"/>
      <c r="F132" s="335"/>
      <c r="G132" s="335"/>
      <c r="H132" s="336"/>
      <c r="I132" s="107"/>
      <c r="J132" s="275"/>
      <c r="K132" s="15"/>
      <c r="M132" s="58"/>
      <c r="N132" s="58"/>
    </row>
    <row r="133" spans="2:14" ht="18.75" customHeight="1">
      <c r="B133" s="12"/>
      <c r="C133" s="67"/>
      <c r="D133" s="67" t="s">
        <v>152</v>
      </c>
      <c r="E133" s="340" t="s">
        <v>245</v>
      </c>
      <c r="F133" s="340"/>
      <c r="G133" s="340"/>
      <c r="H133" s="340"/>
      <c r="I133" s="115"/>
      <c r="J133" s="278" t="s">
        <v>137</v>
      </c>
      <c r="K133" s="15">
        <f>'INSUMOS - PREÇOS'!F65</f>
        <v>0</v>
      </c>
      <c r="M133" s="58"/>
      <c r="N133" s="58"/>
    </row>
    <row r="134" spans="2:14" ht="18.75" customHeight="1">
      <c r="B134" s="12"/>
      <c r="C134" s="67"/>
      <c r="D134" s="67" t="s">
        <v>195</v>
      </c>
      <c r="E134" s="340" t="s">
        <v>246</v>
      </c>
      <c r="F134" s="340"/>
      <c r="G134" s="340"/>
      <c r="H134" s="341"/>
      <c r="I134" s="115"/>
      <c r="J134" s="278" t="s">
        <v>137</v>
      </c>
      <c r="K134" s="15">
        <f>'INSUMOS - PREÇOS'!F66</f>
        <v>0</v>
      </c>
      <c r="M134" s="58"/>
      <c r="N134" s="58"/>
    </row>
    <row r="135" spans="2:13" ht="18.75" customHeight="1">
      <c r="B135" s="12"/>
      <c r="C135" s="67"/>
      <c r="D135" s="67" t="s">
        <v>233</v>
      </c>
      <c r="E135" s="342" t="s">
        <v>142</v>
      </c>
      <c r="F135" s="342"/>
      <c r="G135" s="342"/>
      <c r="H135" s="341"/>
      <c r="I135" s="115"/>
      <c r="J135" s="278" t="s">
        <v>137</v>
      </c>
      <c r="K135" s="15">
        <f>'INSUMOS - PREÇOS'!F67</f>
        <v>0</v>
      </c>
      <c r="M135" s="110"/>
    </row>
    <row r="136" spans="2:11" ht="18.75" customHeight="1">
      <c r="B136" s="12"/>
      <c r="C136" s="67"/>
      <c r="D136" s="335" t="s">
        <v>282</v>
      </c>
      <c r="E136" s="335"/>
      <c r="F136" s="335"/>
      <c r="G136" s="335"/>
      <c r="H136" s="336"/>
      <c r="I136" s="107"/>
      <c r="J136" s="279"/>
      <c r="K136" s="357">
        <f>SUM(K133:K134)</f>
        <v>0</v>
      </c>
    </row>
    <row r="137" spans="2:11" ht="18.75" customHeight="1">
      <c r="B137" s="63"/>
      <c r="C137" s="64"/>
      <c r="D137" s="64"/>
      <c r="E137" s="65"/>
      <c r="F137" s="65"/>
      <c r="G137" s="65"/>
      <c r="H137" s="65"/>
      <c r="I137" s="107"/>
      <c r="J137" s="279"/>
      <c r="K137" s="357"/>
    </row>
    <row r="138" spans="2:11" ht="18.75" customHeight="1" thickBot="1">
      <c r="B138" s="20"/>
      <c r="C138" s="343" t="s">
        <v>283</v>
      </c>
      <c r="D138" s="343"/>
      <c r="E138" s="343"/>
      <c r="F138" s="343"/>
      <c r="G138" s="343"/>
      <c r="H138" s="343"/>
      <c r="I138" s="116"/>
      <c r="J138" s="280"/>
      <c r="K138" s="28">
        <f>SUM(K93,K98,K115,K130,K136)</f>
        <v>713279.1009471758</v>
      </c>
    </row>
    <row r="139" spans="2:13" ht="18.75" customHeight="1" thickBot="1">
      <c r="B139" s="6" t="s">
        <v>284</v>
      </c>
      <c r="C139" s="337" t="s">
        <v>285</v>
      </c>
      <c r="D139" s="337"/>
      <c r="E139" s="337"/>
      <c r="F139" s="337"/>
      <c r="G139" s="337"/>
      <c r="H139" s="337"/>
      <c r="I139" s="4"/>
      <c r="J139" s="4"/>
      <c r="K139" s="360">
        <f>SUM(K78,K138)</f>
        <v>3346217.839250659</v>
      </c>
      <c r="M139" s="110"/>
    </row>
    <row r="140" spans="2:14" s="59" customFormat="1" ht="18.75" customHeight="1">
      <c r="B140" s="63"/>
      <c r="C140" s="64" t="s">
        <v>286</v>
      </c>
      <c r="D140" s="335" t="s">
        <v>287</v>
      </c>
      <c r="E140" s="335"/>
      <c r="F140" s="335"/>
      <c r="G140" s="335"/>
      <c r="H140" s="335"/>
      <c r="I140" s="74"/>
      <c r="J140" s="277"/>
      <c r="K140" s="357"/>
      <c r="M140" s="110"/>
      <c r="N140" s="1"/>
    </row>
    <row r="141" spans="2:14" s="59" customFormat="1" ht="18.75" customHeight="1">
      <c r="B141" s="12"/>
      <c r="C141" s="67"/>
      <c r="D141" s="67" t="s">
        <v>152</v>
      </c>
      <c r="E141" s="315" t="s">
        <v>288</v>
      </c>
      <c r="F141" s="315"/>
      <c r="G141" s="315"/>
      <c r="H141" s="338"/>
      <c r="I141" s="75"/>
      <c r="J141" s="275"/>
      <c r="K141" s="15"/>
      <c r="M141" s="1"/>
      <c r="N141" s="1"/>
    </row>
    <row r="142" spans="2:11" ht="18.75" customHeight="1">
      <c r="B142" s="12"/>
      <c r="C142" s="67"/>
      <c r="D142" s="67"/>
      <c r="E142" s="68" t="s">
        <v>154</v>
      </c>
      <c r="F142" s="315" t="s">
        <v>289</v>
      </c>
      <c r="G142" s="315"/>
      <c r="H142" s="338"/>
      <c r="I142" s="75"/>
      <c r="J142" s="275"/>
      <c r="K142" s="15">
        <f>((SUM('INSUMOS - PREÇOS'!F8:F11))*'INSUMOS - PREÇOS'!F68)</f>
        <v>221.411664</v>
      </c>
    </row>
    <row r="143" spans="2:11" ht="18.75" customHeight="1">
      <c r="B143" s="12"/>
      <c r="C143" s="67"/>
      <c r="D143" s="67"/>
      <c r="E143" s="113" t="s">
        <v>183</v>
      </c>
      <c r="F143" s="315" t="s">
        <v>290</v>
      </c>
      <c r="G143" s="315"/>
      <c r="H143" s="338"/>
      <c r="I143" s="107"/>
      <c r="J143" s="279"/>
      <c r="K143" s="15">
        <f>(SUM('INSUMOS - PREÇOS'!F13:F18))*'INSUMOS - PREÇOS'!F68</f>
        <v>1126.1302</v>
      </c>
    </row>
    <row r="144" spans="2:11" ht="18.75" customHeight="1">
      <c r="B144" s="12"/>
      <c r="C144" s="67"/>
      <c r="D144" s="67"/>
      <c r="E144" s="59" t="s">
        <v>253</v>
      </c>
      <c r="F144" s="315" t="s">
        <v>291</v>
      </c>
      <c r="G144" s="315"/>
      <c r="H144" s="338"/>
      <c r="I144" s="75"/>
      <c r="J144" s="173"/>
      <c r="K144" s="15">
        <f>(('INSUMOS - PREÇOS'!F21*$N$10)*'INSUMOS - PREÇOS'!F68)</f>
        <v>0</v>
      </c>
    </row>
    <row r="145" spans="2:11" ht="18.75" customHeight="1">
      <c r="B145" s="12"/>
      <c r="C145" s="67"/>
      <c r="D145" s="67"/>
      <c r="E145" s="59" t="s">
        <v>254</v>
      </c>
      <c r="F145" s="315" t="s">
        <v>292</v>
      </c>
      <c r="G145" s="315"/>
      <c r="H145" s="338"/>
      <c r="I145" s="75"/>
      <c r="J145" s="173"/>
      <c r="K145" s="15">
        <f>(('INSUMOS - PREÇOS'!F22*$N$13)*'INSUMOS - PREÇOS'!F68)</f>
        <v>17547.4</v>
      </c>
    </row>
    <row r="146" spans="2:11" ht="18.75" customHeight="1">
      <c r="B146" s="12"/>
      <c r="C146" s="67"/>
      <c r="D146" s="67" t="s">
        <v>195</v>
      </c>
      <c r="E146" s="314" t="s">
        <v>293</v>
      </c>
      <c r="F146" s="314"/>
      <c r="G146" s="314"/>
      <c r="H146" s="339"/>
      <c r="I146" s="75"/>
      <c r="J146" s="173"/>
      <c r="K146" s="15">
        <f>$K$71*'INSUMOS - PREÇOS'!F69</f>
        <v>209055.33582129658</v>
      </c>
    </row>
    <row r="147" spans="2:11" ht="18.75" customHeight="1">
      <c r="B147" s="12"/>
      <c r="C147" s="67"/>
      <c r="D147" s="67" t="s">
        <v>233</v>
      </c>
      <c r="E147" s="314" t="s">
        <v>294</v>
      </c>
      <c r="F147" s="314"/>
      <c r="G147" s="314"/>
      <c r="H147" s="314"/>
      <c r="I147" s="117">
        <f>'INSUMOS - QUANTIDADES'!E116</f>
        <v>5</v>
      </c>
      <c r="J147" s="173" t="s">
        <v>295</v>
      </c>
      <c r="K147" s="15">
        <f>($I$147*'INSUMOS - PREÇOS'!F60)*'INSUMOS - PREÇOS'!F68</f>
        <v>567.71</v>
      </c>
    </row>
    <row r="148" spans="2:11" ht="18.75" customHeight="1">
      <c r="B148" s="12"/>
      <c r="C148" s="67"/>
      <c r="D148" s="335" t="s">
        <v>296</v>
      </c>
      <c r="E148" s="335"/>
      <c r="F148" s="335"/>
      <c r="G148" s="335"/>
      <c r="H148" s="336"/>
      <c r="I148" s="75"/>
      <c r="J148" s="173"/>
      <c r="K148" s="357">
        <f>SUM(K142:K147)</f>
        <v>228517.98768529657</v>
      </c>
    </row>
    <row r="149" spans="2:11" ht="18.75" customHeight="1" thickBot="1">
      <c r="B149" s="12"/>
      <c r="C149" s="67"/>
      <c r="D149" s="112"/>
      <c r="E149" s="112"/>
      <c r="F149" s="112"/>
      <c r="G149" s="112"/>
      <c r="H149" s="112"/>
      <c r="I149" s="75"/>
      <c r="J149" s="173"/>
      <c r="K149" s="357"/>
    </row>
    <row r="150" spans="2:13" ht="18.75" customHeight="1" thickBot="1">
      <c r="B150" s="6" t="s">
        <v>297</v>
      </c>
      <c r="C150" s="337" t="s">
        <v>298</v>
      </c>
      <c r="D150" s="337"/>
      <c r="E150" s="337"/>
      <c r="F150" s="337"/>
      <c r="G150" s="337"/>
      <c r="H150" s="337"/>
      <c r="I150" s="4"/>
      <c r="J150" s="4"/>
      <c r="K150" s="360">
        <f>SUM(K139,K148)</f>
        <v>3574735.826935956</v>
      </c>
      <c r="M150" s="110"/>
    </row>
    <row r="151" spans="2:13" ht="18.75" customHeight="1" thickBot="1">
      <c r="B151" s="6"/>
      <c r="C151" s="337" t="s">
        <v>299</v>
      </c>
      <c r="D151" s="337"/>
      <c r="E151" s="337"/>
      <c r="F151" s="337"/>
      <c r="G151" s="337"/>
      <c r="H151" s="337"/>
      <c r="I151" s="4"/>
      <c r="J151" s="4"/>
      <c r="K151" s="361">
        <f>((N7*N14*N31)+(N10*N15*N32))*3.84</f>
        <v>85440</v>
      </c>
      <c r="M151" s="110"/>
    </row>
    <row r="152" spans="2:14" ht="18.75" customHeight="1" thickBot="1">
      <c r="B152" s="114"/>
      <c r="C152" s="337" t="s">
        <v>300</v>
      </c>
      <c r="D152" s="337"/>
      <c r="E152" s="337"/>
      <c r="F152" s="337"/>
      <c r="G152" s="337"/>
      <c r="H152" s="337"/>
      <c r="I152" s="62"/>
      <c r="J152" s="62"/>
      <c r="K152" s="362">
        <f>(K150-K151)/$N$12</f>
        <v>131.94578667965465</v>
      </c>
      <c r="M152" s="59"/>
      <c r="N152" s="59"/>
    </row>
    <row r="153" spans="2:14" ht="18.75" customHeight="1" thickBot="1">
      <c r="B153" s="114"/>
      <c r="C153" s="337" t="s">
        <v>301</v>
      </c>
      <c r="D153" s="337"/>
      <c r="E153" s="337"/>
      <c r="F153" s="337"/>
      <c r="G153" s="337"/>
      <c r="H153" s="337"/>
      <c r="I153" s="62"/>
      <c r="J153" s="62"/>
      <c r="K153" s="362">
        <f>($K$152/$N$30)</f>
        <v>5.497741111652277</v>
      </c>
      <c r="M153" s="59"/>
      <c r="N153" s="59"/>
    </row>
    <row r="154" spans="3:8" ht="18.75" customHeight="1">
      <c r="C154" s="299"/>
      <c r="D154" s="299"/>
      <c r="E154" s="299"/>
      <c r="F154" s="299"/>
      <c r="G154" s="299"/>
      <c r="H154" s="299"/>
    </row>
    <row r="155" ht="18.75" customHeight="1">
      <c r="K155" s="281"/>
    </row>
    <row r="157" spans="10:11" ht="18.75" customHeight="1">
      <c r="J157" s="60"/>
      <c r="K157" s="118"/>
    </row>
    <row r="158" ht="18.75" customHeight="1">
      <c r="J158" s="60"/>
    </row>
  </sheetData>
  <sheetProtection password="DA51" sheet="1" objects="1" scenarios="1" selectLockedCells="1"/>
  <mergeCells count="134">
    <mergeCell ref="B3:K3"/>
    <mergeCell ref="C5:H5"/>
    <mergeCell ref="M5:N5"/>
    <mergeCell ref="D6:H6"/>
    <mergeCell ref="E7:H7"/>
    <mergeCell ref="F15:H15"/>
    <mergeCell ref="G16:H16"/>
    <mergeCell ref="G17:H17"/>
    <mergeCell ref="G18:H18"/>
    <mergeCell ref="G19:H19"/>
    <mergeCell ref="G20:H20"/>
    <mergeCell ref="F21:H21"/>
    <mergeCell ref="G22:H22"/>
    <mergeCell ref="G23:H23"/>
    <mergeCell ref="G24:H24"/>
    <mergeCell ref="G25:H25"/>
    <mergeCell ref="F26:H26"/>
    <mergeCell ref="F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F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F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F61:H61"/>
    <mergeCell ref="E63:H63"/>
    <mergeCell ref="F64:H64"/>
    <mergeCell ref="E66:H66"/>
    <mergeCell ref="F67:H67"/>
    <mergeCell ref="F68:H68"/>
    <mergeCell ref="F69:H69"/>
    <mergeCell ref="D71:H71"/>
    <mergeCell ref="D73:H73"/>
    <mergeCell ref="E75:H75"/>
    <mergeCell ref="D76:H76"/>
    <mergeCell ref="C78:H78"/>
    <mergeCell ref="C79:H79"/>
    <mergeCell ref="D80:H80"/>
    <mergeCell ref="E81:H81"/>
    <mergeCell ref="F82:H82"/>
    <mergeCell ref="F83:H83"/>
    <mergeCell ref="F84:H84"/>
    <mergeCell ref="F85:H85"/>
    <mergeCell ref="F86:H86"/>
    <mergeCell ref="E87:H87"/>
    <mergeCell ref="F88:H88"/>
    <mergeCell ref="F89:H89"/>
    <mergeCell ref="F90:H90"/>
    <mergeCell ref="F91:H91"/>
    <mergeCell ref="F92:H92"/>
    <mergeCell ref="D93:H93"/>
    <mergeCell ref="D95:H95"/>
    <mergeCell ref="E96:H96"/>
    <mergeCell ref="E97:H97"/>
    <mergeCell ref="D98:H98"/>
    <mergeCell ref="D100:H100"/>
    <mergeCell ref="E101:H101"/>
    <mergeCell ref="F102:H102"/>
    <mergeCell ref="F103:H103"/>
    <mergeCell ref="F104:H104"/>
    <mergeCell ref="F105:H105"/>
    <mergeCell ref="E106:H106"/>
    <mergeCell ref="F107:H107"/>
    <mergeCell ref="F108:H108"/>
    <mergeCell ref="F109:H109"/>
    <mergeCell ref="F110:H110"/>
    <mergeCell ref="F111:H111"/>
    <mergeCell ref="F112:H112"/>
    <mergeCell ref="E113:H113"/>
    <mergeCell ref="E114:H114"/>
    <mergeCell ref="D115:H115"/>
    <mergeCell ref="D117:H117"/>
    <mergeCell ref="E118:H118"/>
    <mergeCell ref="F119:H119"/>
    <mergeCell ref="F120:H120"/>
    <mergeCell ref="F121:H121"/>
    <mergeCell ref="F122:H122"/>
    <mergeCell ref="F123:H123"/>
    <mergeCell ref="F124:H124"/>
    <mergeCell ref="E125:H125"/>
    <mergeCell ref="F126:H126"/>
    <mergeCell ref="F127:H127"/>
    <mergeCell ref="F128:H128"/>
    <mergeCell ref="F129:H129"/>
    <mergeCell ref="D130:H130"/>
    <mergeCell ref="D132:H132"/>
    <mergeCell ref="E133:H133"/>
    <mergeCell ref="E134:H134"/>
    <mergeCell ref="E135:H135"/>
    <mergeCell ref="D136:H136"/>
    <mergeCell ref="C138:H138"/>
    <mergeCell ref="C139:H139"/>
    <mergeCell ref="D140:H140"/>
    <mergeCell ref="E141:H141"/>
    <mergeCell ref="F142:H142"/>
    <mergeCell ref="F143:H143"/>
    <mergeCell ref="F144:H144"/>
    <mergeCell ref="F145:H145"/>
    <mergeCell ref="E146:H146"/>
    <mergeCell ref="C154:H154"/>
    <mergeCell ref="E147:H147"/>
    <mergeCell ref="D148:H148"/>
    <mergeCell ref="C150:H150"/>
    <mergeCell ref="C151:H151"/>
    <mergeCell ref="C152:H152"/>
    <mergeCell ref="C153:H153"/>
  </mergeCells>
  <printOptions/>
  <pageMargins left="0.7" right="0.7" top="0.75" bottom="0.75" header="0.3" footer="0.3"/>
  <pageSetup horizontalDpi="600" verticalDpi="600" orientation="portrait" paperSize="9" scale="61" r:id="rId1"/>
  <rowBreaks count="3" manualBreakCount="3">
    <brk id="60" max="255" man="1"/>
    <brk id="76" max="255" man="1"/>
    <brk id="137" max="255" man="1"/>
  </rowBreaks>
  <colBreaks count="1" manualBreakCount="1">
    <brk id="11" max="1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J7:L23"/>
  <sheetViews>
    <sheetView view="pageBreakPreview" zoomScale="85" zoomScaleSheetLayoutView="85" zoomScalePageLayoutView="0" workbookViewId="0" topLeftCell="A1">
      <selection activeCell="S21" sqref="S21"/>
    </sheetView>
  </sheetViews>
  <sheetFormatPr defaultColWidth="9.140625" defaultRowHeight="15"/>
  <cols>
    <col min="1" max="1" width="6.8515625" style="1" customWidth="1"/>
    <col min="2" max="9" width="9.140625" style="1" customWidth="1"/>
    <col min="10" max="12" width="24.7109375" style="1" customWidth="1"/>
    <col min="13" max="16384" width="9.140625" style="1" customWidth="1"/>
  </cols>
  <sheetData>
    <row r="7" spans="10:12" ht="17.25">
      <c r="J7" s="3" t="s">
        <v>302</v>
      </c>
      <c r="K7" s="4" t="s">
        <v>137</v>
      </c>
      <c r="L7" s="5" t="s">
        <v>303</v>
      </c>
    </row>
    <row r="8" spans="10:12" ht="17.25">
      <c r="J8" s="47" t="s">
        <v>304</v>
      </c>
      <c r="K8" s="48">
        <f>'CUSTOS ANUAIS'!K78</f>
        <v>2632938.7383034835</v>
      </c>
      <c r="L8" s="49">
        <f>(K8/'CUSTOS ANUAIS'!$K$150)</f>
        <v>0.7365407867244492</v>
      </c>
    </row>
    <row r="9" spans="10:12" ht="17.25">
      <c r="J9" s="50" t="s">
        <v>305</v>
      </c>
      <c r="K9" s="51">
        <f>'CUSTOS ANUAIS'!K138</f>
        <v>713279.1009471758</v>
      </c>
      <c r="L9" s="49">
        <f>(K9/'CUSTOS ANUAIS'!$K$150)</f>
        <v>0.19953337406712787</v>
      </c>
    </row>
    <row r="10" spans="10:12" ht="17.25">
      <c r="J10" s="52" t="s">
        <v>306</v>
      </c>
      <c r="K10" s="53">
        <f>'CUSTOS ANUAIS'!K148</f>
        <v>228517.98768529657</v>
      </c>
      <c r="L10" s="54">
        <f>(K10/'CUSTOS ANUAIS'!$K$150)</f>
        <v>0.0639258392084229</v>
      </c>
    </row>
    <row r="12" spans="10:12" ht="17.25">
      <c r="J12" s="3" t="s">
        <v>307</v>
      </c>
      <c r="K12" s="4" t="s">
        <v>137</v>
      </c>
      <c r="L12" s="5" t="s">
        <v>308</v>
      </c>
    </row>
    <row r="13" spans="10:12" ht="17.25">
      <c r="J13" s="47" t="s">
        <v>119</v>
      </c>
      <c r="K13" s="48">
        <f>'CUSTOS ANUAIS'!K26</f>
        <v>0</v>
      </c>
      <c r="L13" s="55">
        <f>K13/$K$23</f>
        <v>0</v>
      </c>
    </row>
    <row r="14" spans="10:12" ht="17.25">
      <c r="J14" s="50" t="s">
        <v>309</v>
      </c>
      <c r="K14" s="51">
        <f>'CUSTOS ANUAIS'!K93</f>
        <v>557454.5454545454</v>
      </c>
      <c r="L14" s="49">
        <f aca="true" t="shared" si="0" ref="L14:L22">K14/$K$23</f>
        <v>0.1559428647157855</v>
      </c>
    </row>
    <row r="15" spans="10:12" ht="17.25">
      <c r="J15" s="50" t="s">
        <v>306</v>
      </c>
      <c r="K15" s="51">
        <f>'CUSTOS ANUAIS'!K148</f>
        <v>228517.98768529657</v>
      </c>
      <c r="L15" s="49">
        <f t="shared" si="0"/>
        <v>0.0639258392084229</v>
      </c>
    </row>
    <row r="16" spans="10:12" ht="17.25">
      <c r="J16" s="50" t="s">
        <v>310</v>
      </c>
      <c r="K16" s="51">
        <f>'CUSTOS ANUAIS'!K115</f>
        <v>140389.27325664696</v>
      </c>
      <c r="L16" s="49">
        <f t="shared" si="0"/>
        <v>0.039272628818835</v>
      </c>
    </row>
    <row r="17" spans="10:12" ht="17.25">
      <c r="J17" s="50" t="s">
        <v>311</v>
      </c>
      <c r="K17" s="51">
        <f>'CUSTOS ANUAIS'!K130</f>
        <v>15047.256235983403</v>
      </c>
      <c r="L17" s="49">
        <f t="shared" si="0"/>
        <v>0.004209333770233027</v>
      </c>
    </row>
    <row r="18" spans="10:12" ht="17.25">
      <c r="J18" s="50" t="s">
        <v>312</v>
      </c>
      <c r="K18" s="51">
        <f>'CUSTOS ANUAIS'!K61</f>
        <v>2614410.547827293</v>
      </c>
      <c r="L18" s="49">
        <f t="shared" si="0"/>
        <v>0.7313576930992983</v>
      </c>
    </row>
    <row r="19" spans="10:12" ht="17.25">
      <c r="J19" s="50" t="s">
        <v>130</v>
      </c>
      <c r="K19" s="51">
        <f>'CUSTOS ANUAIS'!K69</f>
        <v>12528.190476190477</v>
      </c>
      <c r="L19" s="49">
        <f t="shared" si="0"/>
        <v>0.0035046479188166678</v>
      </c>
    </row>
    <row r="20" spans="10:12" ht="17.25">
      <c r="J20" s="50" t="s">
        <v>313</v>
      </c>
      <c r="K20" s="51">
        <f>'CUSTOS ANUAIS'!K64</f>
        <v>6000</v>
      </c>
      <c r="L20" s="49">
        <f t="shared" si="0"/>
        <v>0.0016784457063342864</v>
      </c>
    </row>
    <row r="21" spans="10:12" ht="17.25">
      <c r="J21" s="50" t="s">
        <v>314</v>
      </c>
      <c r="K21" s="51">
        <f>'CUSTOS ANUAIS'!K98</f>
        <v>388.026</v>
      </c>
      <c r="L21" s="49">
        <f t="shared" si="0"/>
        <v>0.00010854676227434464</v>
      </c>
    </row>
    <row r="22" spans="10:12" ht="18" thickBot="1">
      <c r="J22" s="50" t="s">
        <v>315</v>
      </c>
      <c r="K22" s="51">
        <f>('CUSTOS ANUAIS'!K76+'CUSTOS ANUAIS'!K136)</f>
        <v>0</v>
      </c>
      <c r="L22" s="54">
        <f t="shared" si="0"/>
        <v>0</v>
      </c>
    </row>
    <row r="23" spans="10:12" ht="18" thickBot="1">
      <c r="J23" s="6" t="s">
        <v>316</v>
      </c>
      <c r="K23" s="56">
        <f>'CUSTOS ANUAIS'!K150</f>
        <v>3574735.826935956</v>
      </c>
      <c r="L23" s="57">
        <f>SUM(L13:L22)</f>
        <v>1</v>
      </c>
    </row>
  </sheetData>
  <sheetProtection password="DA51" sheet="1" objects="1" scenarios="1" selectLockedCells="1"/>
  <printOptions/>
  <pageMargins left="0.51" right="0.51" top="0.79" bottom="0.79" header="0.31" footer="0.31"/>
  <pageSetup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H3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57421875" style="1" customWidth="1"/>
    <col min="2" max="2" width="28.00390625" style="1" customWidth="1"/>
    <col min="3" max="3" width="20.7109375" style="2" customWidth="1"/>
    <col min="4" max="5" width="23.7109375" style="2" customWidth="1"/>
    <col min="6" max="6" width="12.8515625" style="1" customWidth="1"/>
    <col min="7" max="7" width="30.7109375" style="1" customWidth="1"/>
    <col min="8" max="8" width="25.7109375" style="1" customWidth="1"/>
    <col min="9" max="16384" width="9.140625" style="1" customWidth="1"/>
  </cols>
  <sheetData>
    <row r="5" ht="24" customHeight="1"/>
    <row r="6" spans="2:8" ht="17.25">
      <c r="B6" s="325" t="s">
        <v>317</v>
      </c>
      <c r="C6" s="296"/>
      <c r="D6" s="296"/>
      <c r="E6" s="326"/>
      <c r="G6" s="325" t="s">
        <v>318</v>
      </c>
      <c r="H6" s="326"/>
    </row>
    <row r="8" spans="2:8" ht="18" customHeight="1">
      <c r="B8" s="6" t="s">
        <v>319</v>
      </c>
      <c r="C8" s="4" t="s">
        <v>320</v>
      </c>
      <c r="D8" s="4" t="s">
        <v>321</v>
      </c>
      <c r="E8" s="5" t="s">
        <v>322</v>
      </c>
      <c r="G8" s="6" t="s">
        <v>319</v>
      </c>
      <c r="H8" s="5" t="s">
        <v>57</v>
      </c>
    </row>
    <row r="9" spans="2:8" ht="17.25">
      <c r="B9" s="7" t="s">
        <v>25</v>
      </c>
      <c r="C9" s="8"/>
      <c r="D9" s="8"/>
      <c r="E9" s="9"/>
      <c r="G9" s="10" t="s">
        <v>25</v>
      </c>
      <c r="H9" s="11"/>
    </row>
    <row r="10" spans="2:8" ht="17.25">
      <c r="B10" s="12" t="s">
        <v>323</v>
      </c>
      <c r="C10" s="13">
        <f>H11</f>
        <v>641088.9795918367</v>
      </c>
      <c r="D10" s="14">
        <v>6</v>
      </c>
      <c r="E10" s="15">
        <f>C10*D10</f>
        <v>3846533.87755102</v>
      </c>
      <c r="G10" s="12" t="s">
        <v>324</v>
      </c>
      <c r="H10" s="16">
        <f>'CUSTOS ANUAIS'!N11</f>
        <v>26712.040816326527</v>
      </c>
    </row>
    <row r="11" spans="2:8" ht="17.25">
      <c r="B11" s="10" t="s">
        <v>325</v>
      </c>
      <c r="C11" s="17"/>
      <c r="D11" s="18"/>
      <c r="E11" s="15"/>
      <c r="G11" s="12" t="s">
        <v>326</v>
      </c>
      <c r="H11" s="19">
        <f>'CUSTOS ANUAIS'!N11*'CUSTOS ANUAIS'!N30</f>
        <v>641088.9795918367</v>
      </c>
    </row>
    <row r="12" spans="2:8" ht="17.25">
      <c r="B12" s="12" t="s">
        <v>327</v>
      </c>
      <c r="C12" s="13">
        <f>H14</f>
        <v>22100</v>
      </c>
      <c r="D12" s="14">
        <v>3.84</v>
      </c>
      <c r="E12" s="15">
        <f>C12*D12</f>
        <v>84864</v>
      </c>
      <c r="G12" s="10" t="s">
        <v>325</v>
      </c>
      <c r="H12" s="19"/>
    </row>
    <row r="13" spans="2:8" ht="17.25">
      <c r="B13" s="10" t="s">
        <v>328</v>
      </c>
      <c r="C13" s="17"/>
      <c r="D13" s="18"/>
      <c r="E13" s="15"/>
      <c r="G13" s="12" t="s">
        <v>324</v>
      </c>
      <c r="H13" s="16">
        <f>'CUSTOS ANUAIS'!N14*'CUSTOS ANUAIS'!N7</f>
        <v>170</v>
      </c>
    </row>
    <row r="14" spans="2:8" ht="17.25">
      <c r="B14" s="20" t="s">
        <v>327</v>
      </c>
      <c r="C14" s="21">
        <v>250</v>
      </c>
      <c r="D14" s="22">
        <v>3.84</v>
      </c>
      <c r="E14" s="23">
        <f>C14*D14</f>
        <v>960</v>
      </c>
      <c r="G14" s="12" t="s">
        <v>326</v>
      </c>
      <c r="H14" s="19">
        <f>H13*'CUSTOS ANUAIS'!N31</f>
        <v>22100</v>
      </c>
    </row>
    <row r="15" spans="2:8" ht="17.25">
      <c r="B15" s="24"/>
      <c r="C15" s="25"/>
      <c r="D15" s="26" t="s">
        <v>329</v>
      </c>
      <c r="E15" s="27">
        <f>SUM(E10:E14)</f>
        <v>3932357.87755102</v>
      </c>
      <c r="G15" s="10" t="s">
        <v>328</v>
      </c>
      <c r="H15" s="16"/>
    </row>
    <row r="16" spans="2:8" ht="17.25">
      <c r="B16" s="352" t="s">
        <v>330</v>
      </c>
      <c r="C16" s="353"/>
      <c r="D16" s="353"/>
      <c r="E16" s="28">
        <f>E15/('CUSTOS ANUAIS'!N11*'CUSTOS ANUAIS'!N30)</f>
        <v>6.133872212332587</v>
      </c>
      <c r="G16" s="29" t="s">
        <v>324</v>
      </c>
      <c r="H16" s="30">
        <f>'CUSTOS ANUAIS'!N10*'CUSTOS ANUAIS'!N15</f>
        <v>1</v>
      </c>
    </row>
    <row r="17" spans="7:8" ht="17.25">
      <c r="G17" s="31" t="s">
        <v>326</v>
      </c>
      <c r="H17" s="32">
        <f>H16*'CUSTOS ANUAIS'!N32</f>
        <v>150</v>
      </c>
    </row>
    <row r="19" spans="2:5" ht="17.25">
      <c r="B19" s="33"/>
      <c r="C19" s="34"/>
      <c r="D19" s="34"/>
      <c r="E19" s="5" t="s">
        <v>331</v>
      </c>
    </row>
    <row r="20" spans="2:5" ht="17.25">
      <c r="B20" s="35"/>
      <c r="C20" s="36"/>
      <c r="D20" s="36"/>
      <c r="E20" s="37"/>
    </row>
    <row r="21" spans="2:5" ht="17.25">
      <c r="B21" s="38" t="s">
        <v>332</v>
      </c>
      <c r="C21" s="39"/>
      <c r="D21" s="39"/>
      <c r="E21" s="40">
        <f>(('CUSTOS ANUAIS'!K139/('CUSTOS ANUAIS'!N11*'CUSTOS ANUAIS'!N30)))</f>
        <v>5.219584091713918</v>
      </c>
    </row>
    <row r="22" spans="2:8" ht="17.25">
      <c r="B22" s="38" t="s">
        <v>333</v>
      </c>
      <c r="C22" s="39"/>
      <c r="D22" s="39"/>
      <c r="E22" s="40">
        <f>(('CUSTOS ANUAIS'!K148)/('CUSTOS ANUAIS'!N11*'CUSTOS ANUAIS'!N30))</f>
        <v>0.3564528403386181</v>
      </c>
      <c r="G22" s="1" t="str">
        <f>G12</f>
        <v>Matrizes de descarte</v>
      </c>
      <c r="H22" s="41">
        <f>(E12)/E15</f>
        <v>0.0215809452350383</v>
      </c>
    </row>
    <row r="23" spans="2:8" ht="17.25">
      <c r="B23" s="38" t="s">
        <v>334</v>
      </c>
      <c r="C23" s="39"/>
      <c r="D23" s="39"/>
      <c r="E23" s="40">
        <f>SUM(E21:E22)</f>
        <v>5.576036932052536</v>
      </c>
      <c r="G23" s="1" t="str">
        <f>G9</f>
        <v>Leitões</v>
      </c>
      <c r="H23" s="41">
        <f>(E10)/E15</f>
        <v>0.9781749264251989</v>
      </c>
    </row>
    <row r="24" spans="2:8" ht="17.25">
      <c r="B24" s="38" t="s">
        <v>335</v>
      </c>
      <c r="C24" s="39"/>
      <c r="D24" s="39"/>
      <c r="E24" s="40">
        <f>(RENTABILIDADE!E15-'CUSTOS ANUAIS'!K150)/('CUSTOS ANUAIS'!N11*'CUSTOS ANUAIS'!N30)</f>
        <v>0.5578352802800514</v>
      </c>
      <c r="G24" s="1" t="str">
        <f>G15</f>
        <v>Cachaços de descarte</v>
      </c>
      <c r="H24" s="41">
        <f>(E14)/E15</f>
        <v>0.00024412833976287666</v>
      </c>
    </row>
    <row r="25" spans="2:5" ht="17.25">
      <c r="B25" s="42"/>
      <c r="C25" s="43"/>
      <c r="D25" s="43"/>
      <c r="E25" s="44"/>
    </row>
    <row r="26" spans="2:5" ht="17.25">
      <c r="B26" s="354" t="s">
        <v>336</v>
      </c>
      <c r="C26" s="355"/>
      <c r="D26" s="355"/>
      <c r="E26" s="45">
        <f>E24+E22</f>
        <v>0.9142881206186695</v>
      </c>
    </row>
    <row r="27" spans="2:5" ht="17.25">
      <c r="B27" s="354" t="s">
        <v>337</v>
      </c>
      <c r="C27" s="355"/>
      <c r="D27" s="355"/>
      <c r="E27" s="45">
        <f>$E$26*'CUSTOS ANUAIS'!N30*'CUSTOS ANUAIS'!$N$11</f>
        <v>586140.0383003609</v>
      </c>
    </row>
    <row r="28" ht="17.25" customHeight="1"/>
    <row r="32" spans="6:7" ht="17.25">
      <c r="F32" s="46"/>
      <c r="G32" s="46"/>
    </row>
    <row r="33" ht="17.25">
      <c r="F33" s="46"/>
    </row>
  </sheetData>
  <sheetProtection password="DA51" sheet="1" objects="1" scenarios="1" selectLockedCells="1"/>
  <mergeCells count="5">
    <mergeCell ref="B6:E6"/>
    <mergeCell ref="G6:H6"/>
    <mergeCell ref="B16:D16"/>
    <mergeCell ref="B26:D26"/>
    <mergeCell ref="B27:D27"/>
  </mergeCells>
  <printOptions/>
  <pageMargins left="0.51" right="0.51" top="0.79" bottom="0.79" header="0.31" footer="0.31"/>
  <pageSetup horizontalDpi="600" verticalDpi="6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Camila</cp:lastModifiedBy>
  <cp:lastPrinted>2012-09-08T17:33:15Z</cp:lastPrinted>
  <dcterms:created xsi:type="dcterms:W3CDTF">2012-02-08T10:51:58Z</dcterms:created>
  <dcterms:modified xsi:type="dcterms:W3CDTF">2018-06-01T18:07:38Z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